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dukte\_Datafox Software\Zutrittskontrolle\"/>
    </mc:Choice>
  </mc:AlternateContent>
  <bookViews>
    <workbookView xWindow="240" yWindow="30" windowWidth="24780" windowHeight="12405"/>
  </bookViews>
  <sheets>
    <sheet name="Leitungs-Berechnung" sheetId="3" r:id="rId1"/>
    <sheet name="KYO_Cenloc Strom" sheetId="1" r:id="rId2"/>
    <sheet name="Technische Daten" sheetId="5" r:id="rId3"/>
  </sheets>
  <calcPr calcId="152511"/>
</workbook>
</file>

<file path=xl/calcChain.xml><?xml version="1.0" encoding="utf-8"?>
<calcChain xmlns="http://schemas.openxmlformats.org/spreadsheetml/2006/main">
  <c r="K31" i="3" l="1"/>
  <c r="G19" i="1" l="1"/>
  <c r="G18" i="1"/>
  <c r="I29" i="3"/>
  <c r="K29" i="3" s="1"/>
  <c r="I26" i="1" l="1"/>
  <c r="H26" i="1"/>
  <c r="J26" i="1" s="1"/>
  <c r="F31" i="3"/>
  <c r="J31" i="3" l="1"/>
  <c r="H30" i="3"/>
  <c r="K30" i="3" s="1"/>
  <c r="J29" i="3"/>
  <c r="J30" i="3"/>
  <c r="F7" i="3"/>
  <c r="D12" i="3"/>
  <c r="E12" i="3" s="1"/>
  <c r="D14" i="3"/>
  <c r="E14" i="3" s="1"/>
  <c r="D10" i="3"/>
  <c r="E10" i="3" s="1"/>
  <c r="D11" i="3"/>
  <c r="E11" i="3" s="1"/>
  <c r="D13" i="3"/>
  <c r="E13" i="3" s="1"/>
  <c r="D8" i="1"/>
  <c r="I8" i="1" s="1"/>
  <c r="D9" i="1"/>
  <c r="I9" i="1" s="1"/>
  <c r="D10" i="1"/>
  <c r="D7" i="1"/>
  <c r="B1" i="5"/>
  <c r="J12" i="1"/>
  <c r="I12" i="1"/>
  <c r="H12" i="1"/>
  <c r="I11" i="1"/>
  <c r="H11" i="1"/>
  <c r="J11" i="1" s="1"/>
  <c r="H10" i="1"/>
  <c r="H9" i="1"/>
  <c r="H8" i="1"/>
  <c r="H7" i="1"/>
  <c r="B1" i="1"/>
  <c r="B1" i="3"/>
  <c r="J7" i="1" l="1"/>
  <c r="J10" i="1"/>
  <c r="I12" i="3"/>
  <c r="J12" i="3" s="1"/>
  <c r="I10" i="3"/>
  <c r="J10" i="3" s="1"/>
  <c r="I14" i="3"/>
  <c r="J14" i="3" s="1"/>
  <c r="I13" i="3"/>
  <c r="J13" i="3" s="1"/>
  <c r="I11" i="3"/>
  <c r="J11" i="3" s="1"/>
  <c r="F14" i="3"/>
  <c r="F12" i="3"/>
  <c r="F11" i="3"/>
  <c r="F10" i="3"/>
  <c r="F13" i="3"/>
  <c r="J8" i="1"/>
  <c r="J9" i="1"/>
  <c r="I10" i="1"/>
  <c r="I7" i="1"/>
  <c r="I13" i="1" l="1"/>
  <c r="J13" i="1"/>
  <c r="J19" i="1" l="1"/>
  <c r="J18" i="1"/>
  <c r="I19" i="1"/>
  <c r="I18" i="1"/>
</calcChain>
</file>

<file path=xl/sharedStrings.xml><?xml version="1.0" encoding="utf-8"?>
<sst xmlns="http://schemas.openxmlformats.org/spreadsheetml/2006/main" count="171" uniqueCount="120">
  <si>
    <t>Verbraucher</t>
  </si>
  <si>
    <t>Anzahl</t>
  </si>
  <si>
    <t>EVO Intera</t>
  </si>
  <si>
    <t>EVO Agera</t>
  </si>
  <si>
    <t>Einschalt-
dauer</t>
  </si>
  <si>
    <t>Anz. Nutzung
pro Tag</t>
  </si>
  <si>
    <t>Dauer einer
Nutzung</t>
  </si>
  <si>
    <t>Strombedarf gesamt</t>
  </si>
  <si>
    <r>
      <rPr>
        <b/>
        <sz val="10"/>
        <rFont val="Symbol"/>
        <family val="1"/>
        <charset val="2"/>
      </rPr>
      <t>Æ</t>
    </r>
    <r>
      <rPr>
        <b/>
        <sz val="13"/>
        <rFont val="Arial"/>
        <family val="2"/>
      </rPr>
      <t xml:space="preserve"> </t>
    </r>
    <r>
      <rPr>
        <b/>
        <sz val="10"/>
        <rFont val="Arial"/>
        <family val="2"/>
      </rPr>
      <t>Strom</t>
    </r>
  </si>
  <si>
    <t>Einzel-
Strom</t>
  </si>
  <si>
    <t>Max. Strom 
(100%)</t>
  </si>
  <si>
    <r>
      <t xml:space="preserve">Türöffner 12V (15V resistent)
</t>
    </r>
    <r>
      <rPr>
        <sz val="8"/>
        <rFont val="Arial"/>
        <family val="2"/>
      </rPr>
      <t>Typ 2</t>
    </r>
  </si>
  <si>
    <r>
      <t xml:space="preserve">Türöffner 12V (15V resistent)
</t>
    </r>
    <r>
      <rPr>
        <sz val="8"/>
        <rFont val="Arial"/>
        <family val="2"/>
      </rPr>
      <t>Typ 1</t>
    </r>
  </si>
  <si>
    <t>Dauer</t>
  </si>
  <si>
    <t>Ja</t>
  </si>
  <si>
    <t>Nein</t>
  </si>
  <si>
    <t>Summen:</t>
  </si>
  <si>
    <t>Option Akku, 12V, 7,2Ah</t>
  </si>
  <si>
    <t>Akku</t>
  </si>
  <si>
    <r>
      <t xml:space="preserve">Kapazität
</t>
    </r>
    <r>
      <rPr>
        <sz val="8"/>
        <rFont val="Arial"/>
        <family val="2"/>
      </rPr>
      <t>nominell</t>
    </r>
  </si>
  <si>
    <r>
      <t xml:space="preserve">Kapazität
</t>
    </r>
    <r>
      <rPr>
        <sz val="8"/>
        <rFont val="Arial"/>
        <family val="2"/>
      </rPr>
      <t>nutzbar</t>
    </r>
  </si>
  <si>
    <r>
      <t xml:space="preserve">Dauer max.
</t>
    </r>
    <r>
      <rPr>
        <sz val="8"/>
        <rFont val="Arial"/>
        <family val="2"/>
      </rPr>
      <t>[hh:mm]</t>
    </r>
  </si>
  <si>
    <r>
      <t xml:space="preserve">Dauer </t>
    </r>
    <r>
      <rPr>
        <b/>
        <sz val="10"/>
        <rFont val="Symbol"/>
        <family val="1"/>
        <charset val="2"/>
      </rPr>
      <t xml:space="preserve">Æ
</t>
    </r>
    <r>
      <rPr>
        <sz val="8"/>
        <rFont val="Arial"/>
        <family val="2"/>
      </rPr>
      <t>[hh:mm]</t>
    </r>
  </si>
  <si>
    <t>Die Eingabe von Werten ist in den weißen Feldern möglich.</t>
  </si>
  <si>
    <t>Verbraucher:</t>
  </si>
  <si>
    <t>Anzahl:</t>
  </si>
  <si>
    <t>Anzahl gleichartige Verbraucher</t>
  </si>
  <si>
    <t>Einzelstrom:</t>
  </si>
  <si>
    <t>Der maximale Stromverbrauch des entsprechenden Verbrauchers</t>
  </si>
  <si>
    <t>Verbraucher, die vom Netzteil des KYO Cenloc versorgt werden</t>
  </si>
  <si>
    <t>Dauer:</t>
  </si>
  <si>
    <t>Ja = Dauerbetrieb (Dauerstrom), Nein = Intervallbetrieb</t>
  </si>
  <si>
    <t>Dauer eine Nutzung:</t>
  </si>
  <si>
    <t>Zeit in Sekunden, die der Verbraucher den Strom benötigt</t>
  </si>
  <si>
    <t>Anz. Nutzung pro Tag:</t>
  </si>
  <si>
    <t>Wie oft wird der Verbraucher pro Tag angesteuert</t>
  </si>
  <si>
    <t>Einschaltdauer:</t>
  </si>
  <si>
    <t>Prozentwert wird automatisch berechnet</t>
  </si>
  <si>
    <t>Max. Strom (100%):</t>
  </si>
  <si>
    <t>Der maximale Strom ohne Berücksichtigung des Intervallbetriebs</t>
  </si>
  <si>
    <t>Der durchschnittliche Strom mit Berücksichtigung des Intervallbetriebs</t>
  </si>
  <si>
    <t>KYO Cenloc - Stromversorgung</t>
  </si>
  <si>
    <t>Kapazität nominell:</t>
  </si>
  <si>
    <t>Die aufgedruckte Kapazität auf dem Akku</t>
  </si>
  <si>
    <t>Nutzbar %</t>
  </si>
  <si>
    <t>Der Prozentwert der tatsächlich nutzbaren Kapazität</t>
  </si>
  <si>
    <t>Die nutzbare Kapazität aufgrund der Prozentangabe in Ampere-Stunden [Ah]</t>
  </si>
  <si>
    <t>Laufzeit des Akkus bei max. Strom mit 100 % Einschaltdauer in Stunden und Minuten</t>
  </si>
  <si>
    <t>Laufzeit des Akkus bei Durchschnitts-Strom mit erwarteter Einschaltdauer in Stunden und Minuten</t>
  </si>
  <si>
    <r>
      <rPr>
        <b/>
        <sz val="10"/>
        <rFont val="Symbol"/>
        <family val="1"/>
        <charset val="2"/>
      </rPr>
      <t>Æ</t>
    </r>
    <r>
      <rPr>
        <b/>
        <sz val="10"/>
        <rFont val="Arial"/>
        <family val="2"/>
      </rPr>
      <t xml:space="preserve"> Strom:</t>
    </r>
  </si>
  <si>
    <t>Nutzbar %:</t>
  </si>
  <si>
    <t>Kapazität nutzbar:</t>
  </si>
  <si>
    <t>Dauer max. [hh:mm]:</t>
  </si>
  <si>
    <r>
      <t xml:space="preserve">Dauer </t>
    </r>
    <r>
      <rPr>
        <b/>
        <sz val="10"/>
        <rFont val="Symbol"/>
        <family val="1"/>
        <charset val="2"/>
      </rPr>
      <t>Æ</t>
    </r>
    <r>
      <rPr>
        <b/>
        <sz val="10"/>
        <rFont val="Arial"/>
        <family val="2"/>
      </rPr>
      <t xml:space="preserve"> [hh:mm]:</t>
    </r>
  </si>
  <si>
    <t>Akku:</t>
  </si>
  <si>
    <t>Datafox Akku (7,2 Ah) mit festen Werten, alternativ beliebiger alternativer Akku</t>
  </si>
  <si>
    <t>Akku, 12V, beliebig</t>
  </si>
  <si>
    <t>Mit zunehmendem Alter sinkt die verfügbare Kapazität weiter. Daher ist ggf. ein Test oder regelmäßiger Tausch (z.B. alle 2 Jahre) notwendig.</t>
  </si>
  <si>
    <t>Türöffner:</t>
  </si>
  <si>
    <t>2 Typen von Türöffnern sind in der Berechnung vorgesehen, falls das im Projekt relevant ist.</t>
  </si>
  <si>
    <t>Hinweis: Die Einschaltströme können teilweise deutlich größer sein!</t>
  </si>
  <si>
    <t>Verdrahtung der Zutrittskomponenten</t>
  </si>
  <si>
    <t>Technische Daten der Zutrittskomponenten</t>
  </si>
  <si>
    <t>Ladung Akku Cenloc</t>
  </si>
  <si>
    <t>Türöffner 12V (15V resistent)</t>
  </si>
  <si>
    <t>Querschnitt</t>
  </si>
  <si>
    <r>
      <t xml:space="preserve">Leitfähigkeit
</t>
    </r>
    <r>
      <rPr>
        <sz val="7"/>
        <rFont val="Arial"/>
        <family val="2"/>
      </rPr>
      <t>MegaSiemens pro m</t>
    </r>
  </si>
  <si>
    <t>Strom</t>
  </si>
  <si>
    <t>Spitzenstrom</t>
  </si>
  <si>
    <r>
      <rPr>
        <b/>
        <sz val="10"/>
        <rFont val="Symbol"/>
        <family val="1"/>
        <charset val="2"/>
      </rPr>
      <t>Æ</t>
    </r>
    <r>
      <rPr>
        <b/>
        <sz val="10"/>
        <rFont val="Arial"/>
        <family val="2"/>
      </rPr>
      <t>-Strom</t>
    </r>
  </si>
  <si>
    <t>Spitzen-
Strom</t>
  </si>
  <si>
    <t>KYO Oneloc</t>
  </si>
  <si>
    <t>U-Min</t>
  </si>
  <si>
    <t>KYO Inloc</t>
  </si>
  <si>
    <t>KYO Cenloc</t>
  </si>
  <si>
    <t>Spannung am Anfang der Leitung:</t>
  </si>
  <si>
    <t>Spannung am Ende der Leitung:</t>
  </si>
  <si>
    <r>
      <t xml:space="preserve">Mindest-Spg.
</t>
    </r>
    <r>
      <rPr>
        <sz val="7"/>
        <rFont val="Arial"/>
        <family val="2"/>
      </rPr>
      <t>Nach Auswahl oben</t>
    </r>
  </si>
  <si>
    <t>Verbraucher, die über ein längeres Kabel versorgt werden sollen</t>
  </si>
  <si>
    <t>Spitzenstrom:</t>
  </si>
  <si>
    <t>Der Spitzenstrom des entsprechenden Verbrauchers, vor allem der Einschaltstrom</t>
  </si>
  <si>
    <t>Mindest-Spg.:</t>
  </si>
  <si>
    <t>Der Wert wird für alle übernommen aus "Spannung am Ende der Leitung</t>
  </si>
  <si>
    <t>Die Mindestspannung, die die angeschlossenen Geräte benötigen, Auswahl über Gerät daneben.</t>
  </si>
  <si>
    <t>Gesamt-Strom</t>
  </si>
  <si>
    <t>Leitfähigkeit:</t>
  </si>
  <si>
    <t>Kabellänge:</t>
  </si>
  <si>
    <t>Eingangs-
Spannung</t>
  </si>
  <si>
    <t>Mindest-
Spannung</t>
  </si>
  <si>
    <t>Die folgende Tabelle dient zum Berechnen eigener frei einstellbarer Werte.</t>
  </si>
  <si>
    <t>Querschnitt:</t>
  </si>
  <si>
    <t>Kabel-länge</t>
  </si>
  <si>
    <t>Durch-messer</t>
  </si>
  <si>
    <t>Kabel</t>
  </si>
  <si>
    <t>Gesucht</t>
  </si>
  <si>
    <t>Kabellänge</t>
  </si>
  <si>
    <t>Spannung am Ende der Leitung</t>
  </si>
  <si>
    <t>Je nachdem, welche Werte gegeben sind und welcher Wert gesucht wird, können die verschiedenen Zeilen genutzt werden.</t>
  </si>
  <si>
    <r>
      <t xml:space="preserve">Die Spannung, die zu Beginn des Kabels anliegt, in der Regel die Netzteilspannung
</t>
    </r>
    <r>
      <rPr>
        <sz val="8"/>
        <rFont val="Arial"/>
        <family val="2"/>
      </rPr>
      <t>Bei KYO Oneloc und Inloc sowie externem ZK-Netzteil 12V. Beim KYO Cenloc ca. 15V, Cenloc mit Akku 12 - 13,7V</t>
    </r>
  </si>
  <si>
    <r>
      <t xml:space="preserve">Die einfache Länge des Kabels. </t>
    </r>
    <r>
      <rPr>
        <sz val="8"/>
        <rFont val="Arial"/>
        <family val="2"/>
      </rPr>
      <t>Die Länge von Hin- und Rückweg kommt durch Faktor 2 in Formel.</t>
    </r>
  </si>
  <si>
    <t>Durchmesser:</t>
  </si>
  <si>
    <t>Der Kabelquerschnitt der Kupferadern in mm²</t>
  </si>
  <si>
    <t>Der Durchmesser der Kupferadern in mm</t>
  </si>
  <si>
    <t>Beliebiger Verbraucher</t>
  </si>
  <si>
    <t>Die folgende Tabelle kann zur Berechnung beliebiger Verbraucher genutzt werden.</t>
  </si>
  <si>
    <t>Berechnung der Laufzeit im Akkubetrieb</t>
  </si>
  <si>
    <r>
      <t xml:space="preserve">Die Leitfähigkeit des Kabels, Kupfer 56 MS/m, Aluminium 37 MS/m </t>
    </r>
    <r>
      <rPr>
        <sz val="8"/>
        <rFont val="Arial"/>
        <family val="2"/>
      </rPr>
      <t>(Mega-Siemens pro Meter)</t>
    </r>
  </si>
  <si>
    <t>Leitungsquerschnitt in mm²</t>
  </si>
  <si>
    <t>Stromstärke in A</t>
  </si>
  <si>
    <t>Leitungslänge in m</t>
  </si>
  <si>
    <t>Leitfähigkeit für Kupfer 56</t>
  </si>
  <si>
    <t>(MS = Mega Siemens)</t>
  </si>
  <si>
    <r>
      <t>U</t>
    </r>
    <r>
      <rPr>
        <i/>
        <vertAlign val="subscript"/>
        <sz val="11"/>
        <rFont val="Cambria"/>
        <family val="1"/>
      </rPr>
      <t>v</t>
    </r>
    <r>
      <rPr>
        <i/>
        <sz val="11"/>
        <rFont val="Cambria"/>
        <family val="1"/>
      </rPr>
      <t xml:space="preserve"> =</t>
    </r>
  </si>
  <si>
    <t>Spannungsabfall an der Leitung</t>
  </si>
  <si>
    <t xml:space="preserve"> k    =</t>
  </si>
  <si>
    <t xml:space="preserve"> l    =</t>
  </si>
  <si>
    <t>I    =</t>
  </si>
  <si>
    <t>Q   =</t>
  </si>
  <si>
    <t>Wider-
stand</t>
  </si>
  <si>
    <t>Quer-schnitt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</si>
</sst>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[=0]&quot;--&quot;;#,##0&quot; mA&quot;"/>
    <numFmt numFmtId="165" formatCode="[=0]&quot;--&quot;;#,##0&quot; s&quot;"/>
    <numFmt numFmtId="166" formatCode="[=0]&quot;--&quot;;#,##0"/>
    <numFmt numFmtId="167" formatCode="[=0]&quot;--&quot;;#,##0.0&quot; Ah&quot;"/>
    <numFmt numFmtId="168" formatCode="[=0]&quot;--&quot;;hh:mm"/>
    <numFmt numFmtId="169" formatCode="[=0]&quot;--&quot;;#,##0&quot; m&quot;"/>
    <numFmt numFmtId="170" formatCode="[=0]&quot;--&quot;;#,##0.00&quot; mm²&quot;"/>
    <numFmt numFmtId="171" formatCode="[=0]&quot;--&quot;;#,##0&quot; MS/m&quot;"/>
    <numFmt numFmtId="172" formatCode="[=0]&quot;--&quot;;#,##0&quot; V&quot;"/>
    <numFmt numFmtId="173" formatCode="[=0]&quot;--&quot;;#,##0.0&quot; V&quot;"/>
    <numFmt numFmtId="174" formatCode="[=0]&quot;--&quot;;#,##0.00&quot; mm&quot;"/>
    <numFmt numFmtId="175" formatCode="[=0]&quot;--&quot;;#,##0.00&quot; R&quot;"/>
  </numFmts>
  <fonts count="18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8"/>
      <color indexed="12"/>
      <name val="Arial"/>
      <family val="2"/>
    </font>
    <font>
      <b/>
      <sz val="13"/>
      <name val="Arial"/>
      <family val="2"/>
    </font>
    <font>
      <b/>
      <sz val="10"/>
      <name val="Symbol"/>
      <family val="1"/>
      <charset val="2"/>
    </font>
    <font>
      <sz val="8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7"/>
      <name val="Arial"/>
      <family val="2"/>
    </font>
    <font>
      <b/>
      <sz val="10"/>
      <color rgb="FF0000CC"/>
      <name val="Arial"/>
      <family val="2"/>
    </font>
    <font>
      <sz val="8"/>
      <color rgb="FF0070C0"/>
      <name val="Arial"/>
      <family val="2"/>
    </font>
    <font>
      <i/>
      <sz val="11"/>
      <name val="Cambria"/>
      <family val="1"/>
    </font>
    <font>
      <i/>
      <sz val="8"/>
      <name val="Arial"/>
      <family val="2"/>
    </font>
    <font>
      <i/>
      <vertAlign val="subscript"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9" fontId="0" fillId="4" borderId="1" xfId="0" applyNumberForma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166" fontId="0" fillId="2" borderId="1" xfId="0" applyNumberFormat="1" applyFill="1" applyBorder="1" applyAlignment="1">
      <alignment vertical="top"/>
    </xf>
    <xf numFmtId="164" fontId="0" fillId="4" borderId="1" xfId="0" applyNumberForma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vertical="top"/>
      <protection locked="0"/>
    </xf>
    <xf numFmtId="166" fontId="0" fillId="2" borderId="1" xfId="0" applyNumberFormat="1" applyFill="1" applyBorder="1" applyAlignment="1" applyProtection="1">
      <alignment vertical="top"/>
      <protection locked="0"/>
    </xf>
    <xf numFmtId="164" fontId="3" fillId="4" borderId="1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169" fontId="0" fillId="2" borderId="1" xfId="0" applyNumberFormat="1" applyFill="1" applyBorder="1" applyAlignment="1" applyProtection="1">
      <alignment vertical="top"/>
      <protection locked="0"/>
    </xf>
    <xf numFmtId="172" fontId="0" fillId="4" borderId="1" xfId="0" applyNumberFormat="1" applyFill="1" applyBorder="1" applyAlignment="1">
      <alignment vertical="top"/>
    </xf>
    <xf numFmtId="173" fontId="2" fillId="4" borderId="1" xfId="0" applyNumberFormat="1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vertical="top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164" fontId="0" fillId="4" borderId="13" xfId="0" applyNumberFormat="1" applyFill="1" applyBorder="1" applyAlignment="1">
      <alignment vertical="top"/>
    </xf>
    <xf numFmtId="164" fontId="3" fillId="4" borderId="13" xfId="0" applyNumberFormat="1" applyFont="1" applyFill="1" applyBorder="1" applyAlignment="1">
      <alignment vertical="top"/>
    </xf>
    <xf numFmtId="173" fontId="2" fillId="4" borderId="13" xfId="0" applyNumberFormat="1" applyFont="1" applyFill="1" applyBorder="1" applyAlignment="1">
      <alignment vertical="top"/>
    </xf>
    <xf numFmtId="169" fontId="0" fillId="2" borderId="13" xfId="0" applyNumberFormat="1" applyFill="1" applyBorder="1" applyAlignment="1" applyProtection="1">
      <alignment vertical="top"/>
      <protection locked="0"/>
    </xf>
    <xf numFmtId="0" fontId="3" fillId="3" borderId="15" xfId="0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vertical="top"/>
    </xf>
    <xf numFmtId="164" fontId="0" fillId="2" borderId="0" xfId="0" applyNumberFormat="1" applyFill="1" applyBorder="1" applyAlignment="1">
      <alignment vertical="top"/>
    </xf>
    <xf numFmtId="173" fontId="2" fillId="2" borderId="0" xfId="0" applyNumberFormat="1" applyFont="1" applyFill="1" applyBorder="1" applyAlignment="1">
      <alignment vertical="top"/>
    </xf>
    <xf numFmtId="171" fontId="0" fillId="2" borderId="0" xfId="0" applyNumberFormat="1" applyFill="1" applyBorder="1" applyAlignment="1">
      <alignment vertical="top"/>
    </xf>
    <xf numFmtId="169" fontId="0" fillId="2" borderId="0" xfId="0" applyNumberFormat="1" applyFill="1" applyBorder="1" applyAlignment="1" applyProtection="1">
      <alignment vertical="top"/>
      <protection locked="0"/>
    </xf>
    <xf numFmtId="170" fontId="0" fillId="2" borderId="0" xfId="0" applyNumberFormat="1" applyFill="1" applyBorder="1" applyAlignment="1">
      <alignment vertical="top"/>
    </xf>
    <xf numFmtId="164" fontId="3" fillId="3" borderId="17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164" fontId="3" fillId="4" borderId="11" xfId="0" applyNumberFormat="1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164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horizontal="center" vertical="top"/>
      <protection locked="0"/>
    </xf>
    <xf numFmtId="165" fontId="0" fillId="2" borderId="13" xfId="0" applyNumberFormat="1" applyFill="1" applyBorder="1" applyAlignment="1" applyProtection="1">
      <alignment vertical="top"/>
      <protection locked="0"/>
    </xf>
    <xf numFmtId="166" fontId="0" fillId="2" borderId="13" xfId="0" applyNumberFormat="1" applyFill="1" applyBorder="1" applyAlignment="1" applyProtection="1">
      <alignment vertical="top"/>
      <protection locked="0"/>
    </xf>
    <xf numFmtId="9" fontId="0" fillId="4" borderId="13" xfId="0" applyNumberFormat="1" applyFill="1" applyBorder="1" applyAlignment="1">
      <alignment vertical="top"/>
    </xf>
    <xf numFmtId="164" fontId="3" fillId="4" borderId="14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vertical="top"/>
    </xf>
    <xf numFmtId="0" fontId="0" fillId="4" borderId="13" xfId="0" applyFill="1" applyBorder="1" applyAlignment="1" applyProtection="1">
      <alignment horizontal="center" vertical="top"/>
    </xf>
    <xf numFmtId="167" fontId="0" fillId="2" borderId="13" xfId="0" applyNumberFormat="1" applyFill="1" applyBorder="1" applyAlignment="1" applyProtection="1">
      <alignment vertical="top"/>
      <protection locked="0"/>
    </xf>
    <xf numFmtId="9" fontId="0" fillId="2" borderId="13" xfId="0" applyNumberFormat="1" applyFill="1" applyBorder="1" applyAlignment="1" applyProtection="1">
      <alignment vertical="top"/>
      <protection locked="0"/>
    </xf>
    <xf numFmtId="167" fontId="0" fillId="4" borderId="13" xfId="0" applyNumberFormat="1" applyFill="1" applyBorder="1" applyAlignment="1">
      <alignment vertical="top"/>
    </xf>
    <xf numFmtId="168" fontId="3" fillId="4" borderId="13" xfId="0" applyNumberFormat="1" applyFont="1" applyFill="1" applyBorder="1" applyAlignment="1">
      <alignment vertical="top"/>
    </xf>
    <xf numFmtId="168" fontId="3" fillId="4" borderId="14" xfId="0" applyNumberFormat="1" applyFont="1" applyFill="1" applyBorder="1" applyAlignment="1">
      <alignment vertical="top"/>
    </xf>
    <xf numFmtId="0" fontId="2" fillId="4" borderId="18" xfId="0" applyFont="1" applyFill="1" applyBorder="1" applyAlignment="1">
      <alignment vertical="top"/>
    </xf>
    <xf numFmtId="0" fontId="0" fillId="2" borderId="19" xfId="0" applyFill="1" applyBorder="1" applyAlignment="1" applyProtection="1">
      <alignment horizontal="center" vertical="top"/>
      <protection locked="0"/>
    </xf>
    <xf numFmtId="164" fontId="0" fillId="4" borderId="19" xfId="0" applyNumberFormat="1" applyFill="1" applyBorder="1" applyAlignment="1">
      <alignment vertical="top"/>
    </xf>
    <xf numFmtId="164" fontId="0" fillId="4" borderId="19" xfId="0" applyNumberFormat="1" applyFill="1" applyBorder="1" applyAlignment="1">
      <alignment horizontal="center" vertical="top"/>
    </xf>
    <xf numFmtId="165" fontId="0" fillId="2" borderId="19" xfId="0" applyNumberFormat="1" applyFill="1" applyBorder="1" applyAlignment="1">
      <alignment vertical="top"/>
    </xf>
    <xf numFmtId="166" fontId="0" fillId="2" borderId="19" xfId="0" applyNumberFormat="1" applyFill="1" applyBorder="1" applyAlignment="1">
      <alignment vertical="top"/>
    </xf>
    <xf numFmtId="9" fontId="0" fillId="4" borderId="19" xfId="0" applyNumberFormat="1" applyFill="1" applyBorder="1" applyAlignment="1">
      <alignment vertical="top"/>
    </xf>
    <xf numFmtId="164" fontId="3" fillId="4" borderId="19" xfId="0" applyNumberFormat="1" applyFont="1" applyFill="1" applyBorder="1" applyAlignment="1">
      <alignment vertical="top"/>
    </xf>
    <xf numFmtId="164" fontId="3" fillId="4" borderId="20" xfId="0" applyNumberFormat="1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/>
    </xf>
    <xf numFmtId="0" fontId="0" fillId="4" borderId="19" xfId="0" applyFill="1" applyBorder="1" applyAlignment="1" applyProtection="1">
      <alignment horizontal="center" vertical="top"/>
    </xf>
    <xf numFmtId="167" fontId="0" fillId="4" borderId="19" xfId="0" applyNumberFormat="1" applyFill="1" applyBorder="1" applyAlignment="1">
      <alignment vertical="top"/>
    </xf>
    <xf numFmtId="168" fontId="3" fillId="4" borderId="19" xfId="0" applyNumberFormat="1" applyFont="1" applyFill="1" applyBorder="1" applyAlignment="1">
      <alignment vertical="top"/>
    </xf>
    <xf numFmtId="168" fontId="3" fillId="4" borderId="20" xfId="0" applyNumberFormat="1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right" vertical="top" wrapText="1"/>
    </xf>
    <xf numFmtId="173" fontId="2" fillId="4" borderId="19" xfId="0" applyNumberFormat="1" applyFont="1" applyFill="1" applyBorder="1" applyAlignment="1">
      <alignment vertical="top"/>
    </xf>
    <xf numFmtId="170" fontId="3" fillId="3" borderId="6" xfId="0" applyNumberFormat="1" applyFont="1" applyFill="1" applyBorder="1" applyAlignment="1">
      <alignment vertical="top" wrapText="1"/>
    </xf>
    <xf numFmtId="173" fontId="2" fillId="4" borderId="6" xfId="0" applyNumberFormat="1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 wrapText="1"/>
    </xf>
    <xf numFmtId="170" fontId="0" fillId="4" borderId="19" xfId="0" applyNumberFormat="1" applyFill="1" applyBorder="1" applyAlignment="1">
      <alignment vertical="top"/>
    </xf>
    <xf numFmtId="170" fontId="3" fillId="3" borderId="4" xfId="0" applyNumberFormat="1" applyFont="1" applyFill="1" applyBorder="1" applyAlignment="1">
      <alignment vertical="top" wrapText="1"/>
    </xf>
    <xf numFmtId="174" fontId="0" fillId="4" borderId="20" xfId="0" applyNumberFormat="1" applyFill="1" applyBorder="1" applyAlignment="1">
      <alignment vertical="top"/>
    </xf>
    <xf numFmtId="174" fontId="0" fillId="2" borderId="0" xfId="0" applyNumberFormat="1" applyFill="1" applyBorder="1" applyAlignment="1">
      <alignment vertical="top"/>
    </xf>
    <xf numFmtId="170" fontId="0" fillId="4" borderId="16" xfId="0" applyNumberFormat="1" applyFill="1" applyBorder="1" applyAlignment="1">
      <alignment vertical="top"/>
    </xf>
    <xf numFmtId="174" fontId="0" fillId="4" borderId="17" xfId="0" applyNumberFormat="1" applyFill="1" applyBorder="1" applyAlignment="1">
      <alignment vertical="top"/>
    </xf>
    <xf numFmtId="0" fontId="3" fillId="3" borderId="29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173" fontId="13" fillId="4" borderId="31" xfId="0" applyNumberFormat="1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165" fontId="0" fillId="2" borderId="0" xfId="0" applyNumberFormat="1" applyFill="1" applyBorder="1" applyAlignment="1">
      <alignment vertical="top"/>
    </xf>
    <xf numFmtId="166" fontId="0" fillId="2" borderId="0" xfId="0" applyNumberForma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4" fontId="0" fillId="2" borderId="0" xfId="0" applyNumberFormat="1" applyFill="1" applyBorder="1" applyAlignment="1">
      <alignment horizontal="center" vertical="top"/>
    </xf>
    <xf numFmtId="9" fontId="0" fillId="2" borderId="0" xfId="0" applyNumberFormat="1" applyFill="1" applyBorder="1" applyAlignment="1">
      <alignment vertical="top"/>
    </xf>
    <xf numFmtId="164" fontId="2" fillId="2" borderId="13" xfId="0" applyNumberFormat="1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5" fillId="2" borderId="0" xfId="0" applyFont="1" applyFill="1" applyAlignment="1">
      <alignment horizontal="right" vertical="top"/>
    </xf>
    <xf numFmtId="175" fontId="0" fillId="4" borderId="11" xfId="0" applyNumberFormat="1" applyFill="1" applyBorder="1" applyAlignment="1">
      <alignment vertical="top"/>
    </xf>
    <xf numFmtId="175" fontId="0" fillId="4" borderId="14" xfId="0" applyNumberFormat="1" applyFill="1" applyBorder="1" applyAlignment="1">
      <alignment vertical="top"/>
    </xf>
    <xf numFmtId="174" fontId="0" fillId="4" borderId="1" xfId="0" applyNumberFormat="1" applyFill="1" applyBorder="1" applyAlignment="1">
      <alignment vertical="top"/>
    </xf>
    <xf numFmtId="170" fontId="13" fillId="4" borderId="36" xfId="0" applyNumberFormat="1" applyFont="1" applyFill="1" applyBorder="1" applyAlignment="1">
      <alignment vertical="top"/>
    </xf>
    <xf numFmtId="174" fontId="0" fillId="4" borderId="19" xfId="0" applyNumberFormat="1" applyFill="1" applyBorder="1" applyAlignment="1">
      <alignment vertical="top"/>
    </xf>
    <xf numFmtId="170" fontId="3" fillId="3" borderId="22" xfId="0" applyNumberFormat="1" applyFont="1" applyFill="1" applyBorder="1" applyAlignment="1">
      <alignment vertical="top" wrapText="1"/>
    </xf>
    <xf numFmtId="170" fontId="3" fillId="3" borderId="5" xfId="0" applyNumberFormat="1" applyFont="1" applyFill="1" applyBorder="1" applyAlignment="1">
      <alignment vertical="top" wrapText="1"/>
    </xf>
    <xf numFmtId="0" fontId="3" fillId="3" borderId="35" xfId="0" applyFont="1" applyFill="1" applyBorder="1" applyAlignment="1">
      <alignment vertical="top" wrapText="1"/>
    </xf>
    <xf numFmtId="169" fontId="13" fillId="4" borderId="22" xfId="0" applyNumberFormat="1" applyFont="1" applyFill="1" applyBorder="1" applyAlignment="1">
      <alignment vertical="top"/>
    </xf>
    <xf numFmtId="175" fontId="0" fillId="4" borderId="20" xfId="0" applyNumberFormat="1" applyFill="1" applyBorder="1" applyAlignment="1">
      <alignment vertical="top"/>
    </xf>
    <xf numFmtId="174" fontId="0" fillId="4" borderId="13" xfId="0" applyNumberFormat="1" applyFill="1" applyBorder="1" applyAlignment="1">
      <alignment vertical="top"/>
    </xf>
    <xf numFmtId="164" fontId="2" fillId="2" borderId="32" xfId="0" applyNumberFormat="1" applyFont="1" applyFill="1" applyBorder="1" applyAlignment="1" applyProtection="1">
      <alignment vertical="top"/>
      <protection locked="0"/>
    </xf>
    <xf numFmtId="173" fontId="2" fillId="2" borderId="8" xfId="0" applyNumberFormat="1" applyFont="1" applyFill="1" applyBorder="1" applyAlignment="1" applyProtection="1">
      <alignment vertical="top"/>
      <protection locked="0"/>
    </xf>
    <xf numFmtId="164" fontId="2" fillId="2" borderId="26" xfId="0" applyNumberFormat="1" applyFont="1" applyFill="1" applyBorder="1" applyAlignment="1" applyProtection="1">
      <alignment vertical="top"/>
      <protection locked="0"/>
    </xf>
    <xf numFmtId="173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27" xfId="0" applyNumberFormat="1" applyFont="1" applyFill="1" applyBorder="1" applyAlignment="1" applyProtection="1">
      <alignment vertical="top"/>
      <protection locked="0"/>
    </xf>
    <xf numFmtId="173" fontId="2" fillId="2" borderId="24" xfId="0" applyNumberFormat="1" applyFont="1" applyFill="1" applyBorder="1" applyAlignment="1" applyProtection="1">
      <alignment vertical="top"/>
      <protection locked="0"/>
    </xf>
    <xf numFmtId="173" fontId="2" fillId="2" borderId="33" xfId="0" applyNumberFormat="1" applyFont="1" applyFill="1" applyBorder="1" applyAlignment="1" applyProtection="1">
      <alignment vertical="top"/>
      <protection locked="0"/>
    </xf>
    <xf numFmtId="171" fontId="2" fillId="2" borderId="8" xfId="0" applyNumberFormat="1" applyFont="1" applyFill="1" applyBorder="1" applyAlignment="1" applyProtection="1">
      <alignment vertical="top"/>
      <protection locked="0"/>
    </xf>
    <xf numFmtId="171" fontId="2" fillId="2" borderId="34" xfId="0" applyNumberFormat="1" applyFont="1" applyFill="1" applyBorder="1" applyAlignment="1" applyProtection="1">
      <alignment vertical="top"/>
      <protection locked="0"/>
    </xf>
    <xf numFmtId="171" fontId="2" fillId="2" borderId="27" xfId="0" applyNumberFormat="1" applyFont="1" applyFill="1" applyBorder="1" applyAlignment="1" applyProtection="1">
      <alignment vertical="top"/>
      <protection locked="0"/>
    </xf>
    <xf numFmtId="169" fontId="2" fillId="2" borderId="35" xfId="0" applyNumberFormat="1" applyFont="1" applyFill="1" applyBorder="1" applyAlignment="1" applyProtection="1">
      <alignment vertical="top"/>
      <protection locked="0"/>
    </xf>
    <xf numFmtId="169" fontId="2" fillId="2" borderId="37" xfId="0" applyNumberFormat="1" applyFont="1" applyFill="1" applyBorder="1" applyAlignment="1" applyProtection="1">
      <alignment vertical="top"/>
      <protection locked="0"/>
    </xf>
    <xf numFmtId="170" fontId="0" fillId="0" borderId="39" xfId="0" applyNumberFormat="1" applyFill="1" applyBorder="1" applyAlignment="1" applyProtection="1">
      <alignment vertical="top"/>
      <protection locked="0"/>
    </xf>
    <xf numFmtId="170" fontId="0" fillId="0" borderId="40" xfId="0" applyNumberFormat="1" applyFill="1" applyBorder="1" applyAlignment="1" applyProtection="1">
      <alignment vertical="top"/>
      <protection locked="0"/>
    </xf>
    <xf numFmtId="171" fontId="0" fillId="2" borderId="19" xfId="0" applyNumberFormat="1" applyFill="1" applyBorder="1" applyAlignment="1" applyProtection="1">
      <alignment vertical="top"/>
      <protection locked="0"/>
    </xf>
    <xf numFmtId="169" fontId="0" fillId="2" borderId="19" xfId="0" applyNumberFormat="1" applyFill="1" applyBorder="1" applyAlignment="1" applyProtection="1">
      <alignment vertical="top"/>
      <protection locked="0"/>
    </xf>
    <xf numFmtId="171" fontId="0" fillId="2" borderId="1" xfId="0" applyNumberFormat="1" applyFill="1" applyBorder="1" applyAlignment="1" applyProtection="1">
      <alignment vertical="top"/>
      <protection locked="0"/>
    </xf>
    <xf numFmtId="171" fontId="0" fillId="2" borderId="13" xfId="0" applyNumberFormat="1" applyFill="1" applyBorder="1" applyAlignment="1" applyProtection="1">
      <alignment vertical="top"/>
      <protection locked="0"/>
    </xf>
    <xf numFmtId="0" fontId="2" fillId="2" borderId="18" xfId="0" applyFon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2" fillId="5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173" fontId="0" fillId="2" borderId="8" xfId="0" applyNumberFormat="1" applyFill="1" applyBorder="1" applyAlignment="1" applyProtection="1">
      <alignment horizontal="center" vertical="top"/>
      <protection locked="0"/>
    </xf>
    <xf numFmtId="173" fontId="0" fillId="2" borderId="9" xfId="0" applyNumberFormat="1" applyFill="1" applyBorder="1" applyAlignment="1" applyProtection="1">
      <alignment horizontal="center" vertical="top"/>
      <protection locked="0"/>
    </xf>
    <xf numFmtId="0" fontId="13" fillId="3" borderId="7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AEAEA"/>
      <color rgb="FF0000CC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512379</xdr:colOff>
      <xdr:row>0</xdr:row>
      <xdr:rowOff>98534</xdr:rowOff>
    </xdr:from>
    <xdr:ext cx="932845" cy="394041"/>
    <xdr:pic>
      <xdr:nvPicPr>
        <xdr:cNvPr id="5" name="Bild 3" descr="Datafox-Devices-Logo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379" y="98534"/>
          <a:ext cx="932845" cy="3940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141999</xdr:colOff>
      <xdr:row>18</xdr:row>
      <xdr:rowOff>75198</xdr:rowOff>
    </xdr:from>
    <xdr:ext cx="936347" cy="3213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4332999" y="3731922"/>
              <a:ext cx="936347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Ω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·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𝑚𝑚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²</m:t>
                        </m:r>
                      </m:den>
                    </m:f>
                    <m:r>
                      <a:rPr lang="de-DE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𝑀𝑆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4332999" y="3731922"/>
              <a:ext cx="936347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𝑚/(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Ω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·𝑚𝑚²)</a:t>
              </a:r>
              <a:r>
                <a:rPr lang="de-DE" sz="1100" b="0" i="0">
                  <a:latin typeface="Cambria Math" panose="02040503050406030204" pitchFamily="18" charset="0"/>
                </a:rPr>
                <a:t>=  𝑀𝑆/𝑚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197069</xdr:colOff>
      <xdr:row>16</xdr:row>
      <xdr:rowOff>135756</xdr:rowOff>
    </xdr:from>
    <xdr:ext cx="1011621" cy="5167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354724" y="3433377"/>
              <a:ext cx="1011621" cy="51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de-DE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2·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𝑙</m:t>
                        </m:r>
                      </m:num>
                      <m:den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·</m:t>
                        </m:r>
                        <m:r>
                          <a:rPr lang="de-DE" sz="1400" b="0" i="1">
                            <a:latin typeface="Cambria Math" panose="02040503050406030204" pitchFamily="18" charset="0"/>
                          </a:rPr>
                          <m:t>𝑈𝑣</m:t>
                        </m:r>
                      </m:den>
                    </m:f>
                  </m:oMath>
                </m:oMathPara>
              </a14:m>
              <a:endParaRPr lang="de-DE" sz="1400" b="0" i="1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354724" y="3433377"/>
              <a:ext cx="1011621" cy="5167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400" b="0" i="0">
                  <a:latin typeface="Cambria Math" panose="02040503050406030204" pitchFamily="18" charset="0"/>
                </a:rPr>
                <a:t>𝑄=  (2·𝐼·𝑙)/(𝑘·𝑈</a:t>
              </a:r>
              <a:r>
                <a:rPr lang="de-DE" sz="1400" b="0" i="0" baseline="-25000">
                  <a:latin typeface="Cambria Math" panose="02040503050406030204" pitchFamily="18" charset="0"/>
                </a:rPr>
                <a:t>𝑣)</a:t>
              </a:r>
              <a:endParaRPr lang="de-DE" sz="1400" b="0" i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630621</xdr:colOff>
      <xdr:row>0</xdr:row>
      <xdr:rowOff>72258</xdr:rowOff>
    </xdr:from>
    <xdr:to>
      <xdr:col>9</xdr:col>
      <xdr:colOff>775190</xdr:colOff>
      <xdr:row>2</xdr:row>
      <xdr:rowOff>45885</xdr:rowOff>
    </xdr:to>
    <xdr:pic>
      <xdr:nvPicPr>
        <xdr:cNvPr id="2" name="Bild 3" descr="Datafox-Devices-Logo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1897" y="72258"/>
          <a:ext cx="900000" cy="402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630621</xdr:colOff>
      <xdr:row>0</xdr:row>
      <xdr:rowOff>72258</xdr:rowOff>
    </xdr:from>
    <xdr:to>
      <xdr:col>9</xdr:col>
      <xdr:colOff>775190</xdr:colOff>
      <xdr:row>2</xdr:row>
      <xdr:rowOff>45885</xdr:rowOff>
    </xdr:to>
    <xdr:pic>
      <xdr:nvPicPr>
        <xdr:cNvPr id="3" name="Bild 3" descr="Datafox-Devices-Logo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0421" y="72258"/>
          <a:ext cx="931969" cy="3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630621</xdr:colOff>
      <xdr:row>0</xdr:row>
      <xdr:rowOff>72258</xdr:rowOff>
    </xdr:from>
    <xdr:to>
      <xdr:col>9</xdr:col>
      <xdr:colOff>775190</xdr:colOff>
      <xdr:row>2</xdr:row>
      <xdr:rowOff>45885</xdr:rowOff>
    </xdr:to>
    <xdr:pic>
      <xdr:nvPicPr>
        <xdr:cNvPr id="2" name="Bild 3" descr="Datafox-Devices-Logo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0421" y="72258"/>
          <a:ext cx="931969" cy="3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Normal="100" workbookViewId="0">
      <selection activeCell="C12" sqref="C12"/>
    </sheetView>
  </sheetViews>
  <sheetFormatPr baseColWidth="10" defaultColWidth="10.85546875" defaultRowHeight="12.75" x14ac:dyDescent="0.2"/>
  <cols>
    <col min="1" max="1" width="2.28515625" style="3" customWidth="1"/>
    <col min="2" max="2" width="31.28515625" style="3" customWidth="1"/>
    <col min="3" max="3" width="6.85546875" style="3" customWidth="1"/>
    <col min="4" max="4" width="9.42578125" style="3" customWidth="1"/>
    <col min="5" max="5" width="10.140625" style="3" customWidth="1"/>
    <col min="6" max="6" width="13.140625" style="3" customWidth="1"/>
    <col min="7" max="7" width="13.7109375" style="3" customWidth="1"/>
    <col min="8" max="8" width="7.42578125" style="3" customWidth="1"/>
    <col min="9" max="9" width="9.85546875" style="3" customWidth="1"/>
    <col min="10" max="10" width="9.28515625" style="3" customWidth="1"/>
    <col min="11" max="11" width="7.7109375" style="3" customWidth="1"/>
    <col min="12" max="16" width="8.7109375" style="3" customWidth="1"/>
    <col min="17" max="16384" width="10.85546875" style="3"/>
  </cols>
  <sheetData>
    <row r="1" spans="2:11" s="2" customFormat="1" ht="20.25" x14ac:dyDescent="0.2">
      <c r="B1" s="2" t="str">
        <f ca="1">MID(CELL("Dateiname"), SEARCH("[", CELL("Dateiname"))+1, SEARCH("]", CELL("Dateiname"))- SEARCH("[", CELL("Dateiname")) -1)</f>
        <v>Datafox Zutrittskontrolle - Access Control.xlsx</v>
      </c>
    </row>
    <row r="2" spans="2:11" x14ac:dyDescent="0.2">
      <c r="B2" s="21" t="s">
        <v>61</v>
      </c>
    </row>
    <row r="3" spans="2:11" x14ac:dyDescent="0.2">
      <c r="B3" s="21"/>
    </row>
    <row r="4" spans="2:11" x14ac:dyDescent="0.2">
      <c r="B4" s="108" t="s">
        <v>23</v>
      </c>
    </row>
    <row r="5" spans="2:11" ht="13.5" thickBot="1" x14ac:dyDescent="0.25">
      <c r="B5" s="28"/>
    </row>
    <row r="6" spans="2:11" ht="13.5" thickBot="1" x14ac:dyDescent="0.25">
      <c r="B6" s="35" t="s">
        <v>75</v>
      </c>
      <c r="C6" s="156">
        <v>13.7</v>
      </c>
      <c r="D6" s="156"/>
      <c r="E6" s="157"/>
    </row>
    <row r="7" spans="2:11" ht="13.5" thickBot="1" x14ac:dyDescent="0.25">
      <c r="B7" s="88" t="s">
        <v>76</v>
      </c>
      <c r="C7" s="166" t="s">
        <v>71</v>
      </c>
      <c r="D7" s="166"/>
      <c r="E7" s="167"/>
      <c r="F7" s="87">
        <f>VLOOKUP(C7,'Technische Daten'!$B$7:$E$14,4,FALSE)</f>
        <v>9</v>
      </c>
    </row>
    <row r="8" spans="2:11" ht="13.5" thickBot="1" x14ac:dyDescent="0.25">
      <c r="B8" s="5"/>
      <c r="D8" s="1"/>
      <c r="F8" s="1"/>
      <c r="G8" s="1"/>
      <c r="H8" s="1"/>
      <c r="I8" s="151" t="s">
        <v>93</v>
      </c>
      <c r="J8" s="152"/>
    </row>
    <row r="9" spans="2:11" ht="28.5" customHeight="1" thickBot="1" x14ac:dyDescent="0.25">
      <c r="B9" s="32" t="s">
        <v>0</v>
      </c>
      <c r="C9" s="76" t="s">
        <v>1</v>
      </c>
      <c r="D9" s="77" t="s">
        <v>70</v>
      </c>
      <c r="E9" s="77" t="s">
        <v>84</v>
      </c>
      <c r="F9" s="77" t="s">
        <v>77</v>
      </c>
      <c r="G9" s="77" t="s">
        <v>66</v>
      </c>
      <c r="H9" s="89" t="s">
        <v>91</v>
      </c>
      <c r="I9" s="91" t="s">
        <v>119</v>
      </c>
      <c r="J9" s="86" t="s">
        <v>92</v>
      </c>
    </row>
    <row r="10" spans="2:11" x14ac:dyDescent="0.2">
      <c r="B10" s="140" t="s">
        <v>2</v>
      </c>
      <c r="C10" s="68">
        <v>2</v>
      </c>
      <c r="D10" s="69">
        <f>VLOOKUP(B10,'Technische Daten'!$B$7:$D$14,3,FALSE)</f>
        <v>200</v>
      </c>
      <c r="E10" s="74">
        <f t="shared" ref="E10:E14" si="0">C10*D10</f>
        <v>400</v>
      </c>
      <c r="F10" s="85">
        <f t="shared" ref="F10:F14" si="1">$F$7</f>
        <v>9</v>
      </c>
      <c r="G10" s="136">
        <v>56</v>
      </c>
      <c r="H10" s="137">
        <v>100</v>
      </c>
      <c r="I10" s="90">
        <f>2*E10*H10/(1000*G10*($C$6-$F$7))</f>
        <v>0.30395136778115506</v>
      </c>
      <c r="J10" s="92">
        <f>SQRT(I10/PI())*2</f>
        <v>0.62209557234825896</v>
      </c>
    </row>
    <row r="11" spans="2:11" x14ac:dyDescent="0.2">
      <c r="B11" s="141" t="s">
        <v>3</v>
      </c>
      <c r="C11" s="15">
        <v>2</v>
      </c>
      <c r="D11" s="9">
        <f>VLOOKUP(B11,'Technische Daten'!$B$7:$D$14,3,FALSE)</f>
        <v>400</v>
      </c>
      <c r="E11" s="20">
        <f t="shared" si="0"/>
        <v>800</v>
      </c>
      <c r="F11" s="31">
        <f t="shared" si="1"/>
        <v>9</v>
      </c>
      <c r="G11" s="138">
        <v>56</v>
      </c>
      <c r="H11" s="29">
        <v>50</v>
      </c>
      <c r="I11" s="90">
        <f t="shared" ref="I11:I14" si="2">2*E11*H11/(1000*G11*($C$6-$F$7))</f>
        <v>0.30395136778115506</v>
      </c>
      <c r="J11" s="92">
        <f t="shared" ref="J11:J14" si="3">SQRT(I11/PI())*2</f>
        <v>0.62209557234825896</v>
      </c>
    </row>
    <row r="12" spans="2:11" x14ac:dyDescent="0.2">
      <c r="B12" s="36" t="s">
        <v>71</v>
      </c>
      <c r="C12" s="15">
        <v>1</v>
      </c>
      <c r="D12" s="9">
        <f>VLOOKUP(B12,'Technische Daten'!$B$7:$D$14,3,FALSE)</f>
        <v>200</v>
      </c>
      <c r="E12" s="20">
        <f t="shared" ref="E12" si="4">C12*D12</f>
        <v>200</v>
      </c>
      <c r="F12" s="31">
        <f t="shared" si="1"/>
        <v>9</v>
      </c>
      <c r="G12" s="138">
        <v>56</v>
      </c>
      <c r="H12" s="29">
        <v>50</v>
      </c>
      <c r="I12" s="90">
        <f t="shared" si="2"/>
        <v>7.5987841945288764E-2</v>
      </c>
      <c r="J12" s="92">
        <f t="shared" si="3"/>
        <v>0.31104778617412948</v>
      </c>
    </row>
    <row r="13" spans="2:11" x14ac:dyDescent="0.2">
      <c r="B13" s="36" t="s">
        <v>64</v>
      </c>
      <c r="C13" s="15">
        <v>1</v>
      </c>
      <c r="D13" s="9">
        <f>VLOOKUP(B13,'Technische Daten'!$B$7:$D$14,3,FALSE)</f>
        <v>1000</v>
      </c>
      <c r="E13" s="20">
        <f t="shared" si="0"/>
        <v>1000</v>
      </c>
      <c r="F13" s="31">
        <f t="shared" si="1"/>
        <v>9</v>
      </c>
      <c r="G13" s="138">
        <v>56</v>
      </c>
      <c r="H13" s="29">
        <v>20</v>
      </c>
      <c r="I13" s="90">
        <f t="shared" si="2"/>
        <v>0.15197568389057753</v>
      </c>
      <c r="J13" s="92">
        <f t="shared" si="3"/>
        <v>0.4398879977535804</v>
      </c>
    </row>
    <row r="14" spans="2:11" ht="13.5" thickBot="1" x14ac:dyDescent="0.25">
      <c r="B14" s="37" t="s">
        <v>64</v>
      </c>
      <c r="C14" s="38">
        <v>1</v>
      </c>
      <c r="D14" s="39">
        <f>VLOOKUP(B14,'Technische Daten'!$B$7:$D$14,3,FALSE)</f>
        <v>1000</v>
      </c>
      <c r="E14" s="40">
        <f t="shared" si="0"/>
        <v>1000</v>
      </c>
      <c r="F14" s="41">
        <f t="shared" si="1"/>
        <v>9</v>
      </c>
      <c r="G14" s="139">
        <v>56</v>
      </c>
      <c r="H14" s="42">
        <v>50</v>
      </c>
      <c r="I14" s="94">
        <f t="shared" si="2"/>
        <v>0.37993920972644385</v>
      </c>
      <c r="J14" s="95">
        <f t="shared" si="3"/>
        <v>0.69552399413617272</v>
      </c>
    </row>
    <row r="15" spans="2:11" x14ac:dyDescent="0.2">
      <c r="B15" s="33"/>
      <c r="C15" s="34"/>
      <c r="D15" s="45"/>
      <c r="E15" s="26"/>
      <c r="F15" s="46"/>
      <c r="G15" s="47"/>
      <c r="H15" s="48"/>
      <c r="I15" s="49"/>
      <c r="J15" s="93"/>
    </row>
    <row r="16" spans="2:11" x14ac:dyDescent="0.2">
      <c r="E16" s="26"/>
      <c r="F16" s="1"/>
      <c r="I16" s="26"/>
      <c r="J16" s="26"/>
      <c r="K16" s="26"/>
    </row>
    <row r="17" spans="2:11" ht="14.25" x14ac:dyDescent="0.2">
      <c r="B17" s="25"/>
      <c r="C17" s="110" t="s">
        <v>117</v>
      </c>
      <c r="D17" s="3" t="s">
        <v>107</v>
      </c>
    </row>
    <row r="18" spans="2:11" ht="14.25" x14ac:dyDescent="0.2">
      <c r="B18" s="25"/>
      <c r="C18" s="110" t="s">
        <v>116</v>
      </c>
      <c r="D18" s="3" t="s">
        <v>108</v>
      </c>
    </row>
    <row r="19" spans="2:11" ht="14.25" x14ac:dyDescent="0.2">
      <c r="B19" s="25"/>
      <c r="C19" s="110" t="s">
        <v>115</v>
      </c>
      <c r="D19" s="3" t="s">
        <v>109</v>
      </c>
    </row>
    <row r="20" spans="2:11" ht="14.25" x14ac:dyDescent="0.2">
      <c r="B20" s="25"/>
      <c r="C20" s="110" t="s">
        <v>114</v>
      </c>
      <c r="D20" s="4" t="s">
        <v>110</v>
      </c>
      <c r="H20" s="109" t="s">
        <v>111</v>
      </c>
    </row>
    <row r="21" spans="2:11" ht="5.0999999999999996" customHeight="1" x14ac:dyDescent="0.2">
      <c r="B21" s="25"/>
      <c r="C21" s="110"/>
      <c r="D21" s="4"/>
      <c r="H21" s="109"/>
    </row>
    <row r="22" spans="2:11" ht="17.25" x14ac:dyDescent="0.2">
      <c r="B22" s="25"/>
      <c r="C22" s="110" t="s">
        <v>112</v>
      </c>
      <c r="D22" s="4" t="s">
        <v>113</v>
      </c>
    </row>
    <row r="23" spans="2:11" x14ac:dyDescent="0.2">
      <c r="B23" s="25"/>
    </row>
    <row r="24" spans="2:11" x14ac:dyDescent="0.2">
      <c r="B24" s="25"/>
    </row>
    <row r="25" spans="2:11" s="27" customFormat="1" ht="12" x14ac:dyDescent="0.2">
      <c r="B25" s="108" t="s">
        <v>89</v>
      </c>
    </row>
    <row r="26" spans="2:11" s="27" customFormat="1" thickBot="1" x14ac:dyDescent="0.25">
      <c r="B26" s="108" t="s">
        <v>97</v>
      </c>
    </row>
    <row r="27" spans="2:11" s="27" customFormat="1" ht="13.5" thickBot="1" x14ac:dyDescent="0.25">
      <c r="B27" s="28"/>
      <c r="I27" s="153" t="s">
        <v>93</v>
      </c>
      <c r="J27" s="154"/>
      <c r="K27" s="155"/>
    </row>
    <row r="28" spans="2:11" ht="39" thickBot="1" x14ac:dyDescent="0.25">
      <c r="B28" s="164" t="s">
        <v>94</v>
      </c>
      <c r="C28" s="165"/>
      <c r="D28" s="96" t="s">
        <v>67</v>
      </c>
      <c r="E28" s="96" t="s">
        <v>87</v>
      </c>
      <c r="F28" s="97" t="s">
        <v>88</v>
      </c>
      <c r="G28" s="97" t="s">
        <v>66</v>
      </c>
      <c r="H28" s="118" t="s">
        <v>91</v>
      </c>
      <c r="I28" s="116" t="s">
        <v>119</v>
      </c>
      <c r="J28" s="117" t="s">
        <v>92</v>
      </c>
      <c r="K28" s="86" t="s">
        <v>118</v>
      </c>
    </row>
    <row r="29" spans="2:11" ht="13.5" thickBot="1" x14ac:dyDescent="0.25">
      <c r="B29" s="158" t="s">
        <v>65</v>
      </c>
      <c r="C29" s="159"/>
      <c r="D29" s="122">
        <v>1000</v>
      </c>
      <c r="E29" s="123">
        <v>12</v>
      </c>
      <c r="F29" s="123">
        <v>9</v>
      </c>
      <c r="G29" s="129">
        <v>56</v>
      </c>
      <c r="H29" s="132">
        <v>100</v>
      </c>
      <c r="I29" s="114">
        <f>2*D29*H29/(1000*G29*(E29-F29))</f>
        <v>1.1904761904761905</v>
      </c>
      <c r="J29" s="115">
        <f t="shared" ref="J29:J31" si="5">SQRT(I29/PI())*2</f>
        <v>1.2311626061491454</v>
      </c>
      <c r="K29" s="120">
        <f>1/G29*H29/I29</f>
        <v>1.5</v>
      </c>
    </row>
    <row r="30" spans="2:11" ht="13.5" thickBot="1" x14ac:dyDescent="0.25">
      <c r="B30" s="160" t="s">
        <v>95</v>
      </c>
      <c r="C30" s="161"/>
      <c r="D30" s="124">
        <v>200</v>
      </c>
      <c r="E30" s="125">
        <v>12</v>
      </c>
      <c r="F30" s="128">
        <v>9</v>
      </c>
      <c r="G30" s="130">
        <v>56</v>
      </c>
      <c r="H30" s="119">
        <f>I30*G30*(E30-F30)/(2*D30/1000)</f>
        <v>210</v>
      </c>
      <c r="I30" s="134">
        <v>0.5</v>
      </c>
      <c r="J30" s="113">
        <f t="shared" si="5"/>
        <v>0.79788456080286541</v>
      </c>
      <c r="K30" s="111">
        <f t="shared" ref="K30:K31" si="6">1/G30*H30/I30</f>
        <v>7.5</v>
      </c>
    </row>
    <row r="31" spans="2:11" ht="13.5" thickBot="1" x14ac:dyDescent="0.25">
      <c r="B31" s="162" t="s">
        <v>96</v>
      </c>
      <c r="C31" s="163"/>
      <c r="D31" s="126">
        <v>200</v>
      </c>
      <c r="E31" s="127">
        <v>12</v>
      </c>
      <c r="F31" s="100">
        <f>E31-2*D31*H31/(1000*G31*I31)</f>
        <v>10.469387755102041</v>
      </c>
      <c r="G31" s="131">
        <v>56</v>
      </c>
      <c r="H31" s="133">
        <v>60</v>
      </c>
      <c r="I31" s="135">
        <v>0.28000000000000003</v>
      </c>
      <c r="J31" s="121">
        <f t="shared" si="5"/>
        <v>0.59708213214418471</v>
      </c>
      <c r="K31" s="112">
        <f t="shared" si="6"/>
        <v>3.8265306122448974</v>
      </c>
    </row>
    <row r="32" spans="2:11" x14ac:dyDescent="0.2">
      <c r="B32" s="25"/>
    </row>
    <row r="33" spans="2:11" x14ac:dyDescent="0.2">
      <c r="B33" s="25"/>
    </row>
    <row r="34" spans="2:11" x14ac:dyDescent="0.2">
      <c r="B34" s="25"/>
    </row>
    <row r="35" spans="2:11" x14ac:dyDescent="0.2">
      <c r="B35" s="25"/>
    </row>
    <row r="36" spans="2:11" ht="22.5" customHeight="1" x14ac:dyDescent="0.2">
      <c r="B36" s="23" t="s">
        <v>75</v>
      </c>
      <c r="C36" s="150" t="s">
        <v>98</v>
      </c>
      <c r="D36" s="150"/>
      <c r="E36" s="150"/>
      <c r="F36" s="150"/>
      <c r="G36" s="150"/>
      <c r="H36" s="150"/>
      <c r="I36" s="150"/>
      <c r="J36" s="150"/>
      <c r="K36" s="150"/>
    </row>
    <row r="37" spans="2:11" ht="12.75" customHeight="1" x14ac:dyDescent="0.2">
      <c r="B37" s="98" t="s">
        <v>76</v>
      </c>
      <c r="C37" s="149" t="s">
        <v>83</v>
      </c>
      <c r="D37" s="149"/>
      <c r="E37" s="149"/>
      <c r="F37" s="149"/>
      <c r="G37" s="149"/>
      <c r="H37" s="149"/>
      <c r="I37" s="149"/>
      <c r="J37" s="149"/>
      <c r="K37" s="149"/>
    </row>
    <row r="38" spans="2:11" ht="12.75" customHeight="1" x14ac:dyDescent="0.2">
      <c r="B38" s="23" t="s">
        <v>24</v>
      </c>
      <c r="C38" s="148" t="s">
        <v>78</v>
      </c>
      <c r="D38" s="148"/>
      <c r="E38" s="148"/>
      <c r="F38" s="148"/>
      <c r="G38" s="148"/>
      <c r="H38" s="148"/>
      <c r="I38" s="148"/>
      <c r="J38" s="148"/>
      <c r="K38" s="148"/>
    </row>
    <row r="39" spans="2:11" ht="12.75" customHeight="1" x14ac:dyDescent="0.2">
      <c r="B39" s="99" t="s">
        <v>25</v>
      </c>
      <c r="C39" s="149" t="s">
        <v>26</v>
      </c>
      <c r="D39" s="149"/>
      <c r="E39" s="149"/>
      <c r="F39" s="149"/>
      <c r="G39" s="149"/>
      <c r="H39" s="149"/>
      <c r="I39" s="149"/>
      <c r="J39" s="149"/>
      <c r="K39" s="149"/>
    </row>
    <row r="40" spans="2:11" ht="12.75" customHeight="1" x14ac:dyDescent="0.2">
      <c r="B40" s="24" t="s">
        <v>79</v>
      </c>
      <c r="C40" s="148" t="s">
        <v>80</v>
      </c>
      <c r="D40" s="148"/>
      <c r="E40" s="148"/>
      <c r="F40" s="148"/>
      <c r="G40" s="148"/>
      <c r="H40" s="148"/>
      <c r="I40" s="148"/>
      <c r="J40" s="148"/>
      <c r="K40" s="148"/>
    </row>
    <row r="41" spans="2:11" ht="12.75" customHeight="1" x14ac:dyDescent="0.2">
      <c r="B41" s="99" t="s">
        <v>81</v>
      </c>
      <c r="C41" s="149" t="s">
        <v>82</v>
      </c>
      <c r="D41" s="149"/>
      <c r="E41" s="149"/>
      <c r="F41" s="149"/>
      <c r="G41" s="149"/>
      <c r="H41" s="149"/>
      <c r="I41" s="149"/>
      <c r="J41" s="149"/>
      <c r="K41" s="149"/>
    </row>
    <row r="42" spans="2:11" ht="12.75" customHeight="1" x14ac:dyDescent="0.2">
      <c r="B42" s="24" t="s">
        <v>85</v>
      </c>
      <c r="C42" s="148" t="s">
        <v>106</v>
      </c>
      <c r="D42" s="148"/>
      <c r="E42" s="148"/>
      <c r="F42" s="148"/>
      <c r="G42" s="148"/>
      <c r="H42" s="148"/>
      <c r="I42" s="148"/>
      <c r="J42" s="148"/>
      <c r="K42" s="148"/>
    </row>
    <row r="43" spans="2:11" ht="12.75" customHeight="1" x14ac:dyDescent="0.2">
      <c r="B43" s="99" t="s">
        <v>86</v>
      </c>
      <c r="C43" s="149" t="s">
        <v>99</v>
      </c>
      <c r="D43" s="149"/>
      <c r="E43" s="149"/>
      <c r="F43" s="149"/>
      <c r="G43" s="149"/>
      <c r="H43" s="149"/>
      <c r="I43" s="149"/>
      <c r="J43" s="149"/>
      <c r="K43" s="149"/>
    </row>
    <row r="44" spans="2:11" ht="12.75" customHeight="1" x14ac:dyDescent="0.2">
      <c r="B44" s="24" t="s">
        <v>90</v>
      </c>
      <c r="C44" s="148" t="s">
        <v>101</v>
      </c>
      <c r="D44" s="148"/>
      <c r="E44" s="148"/>
      <c r="F44" s="148"/>
      <c r="G44" s="148"/>
      <c r="H44" s="148"/>
      <c r="I44" s="148"/>
      <c r="J44" s="148"/>
      <c r="K44" s="148"/>
    </row>
    <row r="45" spans="2:11" ht="12.75" customHeight="1" x14ac:dyDescent="0.2">
      <c r="B45" s="99" t="s">
        <v>100</v>
      </c>
      <c r="C45" s="149" t="s">
        <v>102</v>
      </c>
      <c r="D45" s="149"/>
      <c r="E45" s="149"/>
      <c r="F45" s="149"/>
      <c r="G45" s="149"/>
      <c r="H45" s="149"/>
      <c r="I45" s="149"/>
      <c r="J45" s="149"/>
      <c r="K45" s="149"/>
    </row>
    <row r="46" spans="2:11" x14ac:dyDescent="0.2">
      <c r="B46" s="21"/>
      <c r="C46" s="150"/>
      <c r="D46" s="150"/>
      <c r="E46" s="150"/>
      <c r="F46" s="150"/>
      <c r="G46" s="150"/>
      <c r="H46" s="150"/>
      <c r="I46" s="150"/>
      <c r="J46" s="150"/>
      <c r="K46" s="150"/>
    </row>
    <row r="47" spans="2:11" s="22" customFormat="1" x14ac:dyDescent="0.2">
      <c r="B47" s="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ht="12.75" customHeight="1" x14ac:dyDescent="0.2">
      <c r="B48" s="23" t="s">
        <v>54</v>
      </c>
      <c r="C48" s="150" t="s">
        <v>55</v>
      </c>
      <c r="D48" s="150"/>
      <c r="E48" s="150"/>
      <c r="F48" s="150"/>
      <c r="G48" s="150"/>
      <c r="H48" s="150"/>
      <c r="I48" s="150"/>
      <c r="J48" s="150"/>
      <c r="K48" s="150"/>
    </row>
    <row r="49" spans="2:11" ht="12.75" customHeight="1" x14ac:dyDescent="0.2">
      <c r="B49" s="98" t="s">
        <v>42</v>
      </c>
      <c r="C49" s="149" t="s">
        <v>43</v>
      </c>
      <c r="D49" s="149"/>
      <c r="E49" s="149"/>
      <c r="F49" s="149"/>
      <c r="G49" s="149"/>
      <c r="H49" s="149"/>
      <c r="I49" s="149"/>
      <c r="J49" s="149"/>
      <c r="K49" s="149"/>
    </row>
    <row r="50" spans="2:11" ht="12.75" customHeight="1" x14ac:dyDescent="0.2">
      <c r="B50" s="24" t="s">
        <v>50</v>
      </c>
      <c r="C50" s="148" t="s">
        <v>45</v>
      </c>
      <c r="D50" s="148"/>
      <c r="E50" s="148"/>
      <c r="F50" s="148"/>
      <c r="G50" s="148"/>
      <c r="H50" s="148"/>
      <c r="I50" s="148"/>
      <c r="J50" s="148"/>
      <c r="K50" s="148"/>
    </row>
    <row r="51" spans="2:11" ht="12.75" customHeight="1" x14ac:dyDescent="0.2">
      <c r="B51" s="99" t="s">
        <v>51</v>
      </c>
      <c r="C51" s="149" t="s">
        <v>46</v>
      </c>
      <c r="D51" s="149"/>
      <c r="E51" s="149"/>
      <c r="F51" s="149"/>
      <c r="G51" s="149"/>
      <c r="H51" s="149"/>
      <c r="I51" s="149"/>
      <c r="J51" s="149"/>
      <c r="K51" s="149"/>
    </row>
    <row r="52" spans="2:11" ht="12.75" customHeight="1" x14ac:dyDescent="0.2">
      <c r="B52" s="24" t="s">
        <v>52</v>
      </c>
      <c r="C52" s="148" t="s">
        <v>47</v>
      </c>
      <c r="D52" s="148"/>
      <c r="E52" s="148"/>
      <c r="F52" s="148"/>
      <c r="G52" s="148"/>
      <c r="H52" s="148"/>
      <c r="I52" s="148"/>
      <c r="J52" s="148"/>
      <c r="K52" s="148"/>
    </row>
    <row r="53" spans="2:11" ht="12.75" customHeight="1" x14ac:dyDescent="0.2">
      <c r="B53" s="99" t="s">
        <v>53</v>
      </c>
      <c r="C53" s="149" t="s">
        <v>48</v>
      </c>
      <c r="D53" s="149"/>
      <c r="E53" s="149"/>
      <c r="F53" s="149"/>
      <c r="G53" s="149"/>
      <c r="H53" s="149"/>
      <c r="I53" s="149"/>
      <c r="J53" s="149"/>
      <c r="K53" s="149"/>
    </row>
  </sheetData>
  <sheetProtection algorithmName="SHA-512" hashValue="3BMnERlttSy2jR6m7W7ka5SS7zVpitssmFozzmi91ItEsc52PMmOK2KNwxPtEYY65ibRsLqQrIW7euDSEVQ8+Q==" saltValue="tbRDlnXYELFFB5yOpj2SLw==" spinCount="100000" sheet="1" objects="1" scenarios="1"/>
  <mergeCells count="25">
    <mergeCell ref="C6:E6"/>
    <mergeCell ref="B29:C29"/>
    <mergeCell ref="B30:C30"/>
    <mergeCell ref="B31:C31"/>
    <mergeCell ref="B28:C28"/>
    <mergeCell ref="C7:E7"/>
    <mergeCell ref="I8:J8"/>
    <mergeCell ref="I27:K27"/>
    <mergeCell ref="C46:K46"/>
    <mergeCell ref="C48:K48"/>
    <mergeCell ref="C49:K49"/>
    <mergeCell ref="C50:K50"/>
    <mergeCell ref="C51:K51"/>
    <mergeCell ref="C52:K52"/>
    <mergeCell ref="C53:K53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C45:K45"/>
  </mergeCells>
  <conditionalFormatting sqref="H10:H11 F10:F15 J10:J15">
    <cfRule type="expression" dxfId="15" priority="28">
      <formula>#REF!="Ja"</formula>
    </cfRule>
  </conditionalFormatting>
  <conditionalFormatting sqref="H13:H15">
    <cfRule type="expression" dxfId="14" priority="27">
      <formula>#REF!="Ja"</formula>
    </cfRule>
  </conditionalFormatting>
  <conditionalFormatting sqref="H12">
    <cfRule type="expression" dxfId="13" priority="23">
      <formula>#REF!="Ja"</formula>
    </cfRule>
  </conditionalFormatting>
  <conditionalFormatting sqref="F7">
    <cfRule type="expression" dxfId="12" priority="20">
      <formula>#REF!="Ja"</formula>
    </cfRule>
  </conditionalFormatting>
  <conditionalFormatting sqref="C6">
    <cfRule type="expression" dxfId="11" priority="22">
      <formula>#REF!="Ja"</formula>
    </cfRule>
  </conditionalFormatting>
  <conditionalFormatting sqref="H29:H30 F29:F30">
    <cfRule type="expression" dxfId="10" priority="18">
      <formula>#REF!="Ja"</formula>
    </cfRule>
  </conditionalFormatting>
  <conditionalFormatting sqref="E29">
    <cfRule type="expression" dxfId="9" priority="16">
      <formula>#REF!="Ja"</formula>
    </cfRule>
  </conditionalFormatting>
  <conditionalFormatting sqref="I10:I15">
    <cfRule type="expression" dxfId="8" priority="15">
      <formula>#REF!="Ja"</formula>
    </cfRule>
  </conditionalFormatting>
  <conditionalFormatting sqref="I29:I30">
    <cfRule type="expression" dxfId="7" priority="13">
      <formula>#REF!="Ja"</formula>
    </cfRule>
  </conditionalFormatting>
  <conditionalFormatting sqref="J29:J31">
    <cfRule type="expression" dxfId="6" priority="12">
      <formula>#REF!="Ja"</formula>
    </cfRule>
  </conditionalFormatting>
  <conditionalFormatting sqref="E30">
    <cfRule type="expression" dxfId="5" priority="11">
      <formula>#REF!="Ja"</formula>
    </cfRule>
  </conditionalFormatting>
  <conditionalFormatting sqref="E31">
    <cfRule type="expression" dxfId="4" priority="10">
      <formula>#REF!="Ja"</formula>
    </cfRule>
  </conditionalFormatting>
  <conditionalFormatting sqref="H31">
    <cfRule type="expression" dxfId="3" priority="7">
      <formula>#REF!="Ja"</formula>
    </cfRule>
  </conditionalFormatting>
  <conditionalFormatting sqref="F31">
    <cfRule type="expression" dxfId="2" priority="4">
      <formula>#REF!="Ja"</formula>
    </cfRule>
  </conditionalFormatting>
  <conditionalFormatting sqref="I31">
    <cfRule type="expression" dxfId="1" priority="3">
      <formula>#REF!="Ja"</formula>
    </cfRule>
  </conditionalFormatting>
  <conditionalFormatting sqref="K29:K31">
    <cfRule type="expression" dxfId="0" priority="1">
      <formula>#REF!="Ja"</formula>
    </cfRule>
  </conditionalFormatting>
  <pageMargins left="0.59055118110236227" right="0.59055118110236227" top="0.59055118110236227" bottom="0.59055118110236227" header="0.51181102362204722" footer="0.51181102362204722"/>
  <pageSetup paperSize="9" scale="79" fitToHeight="0" orientation="portrait" r:id="rId1"/>
  <headerFooter alignWithMargins="0">
    <oddFooter>&amp;LDatafox GmbH&amp;R&amp;F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'Technische Daten'!$B$7:$B$14</xm:f>
          </x14:formula1>
          <xm:sqref>C7 B10:B15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zoomScaleNormal="100" workbookViewId="0">
      <selection activeCell="G26" sqref="G26"/>
    </sheetView>
  </sheetViews>
  <sheetFormatPr baseColWidth="10" defaultColWidth="10.85546875" defaultRowHeight="12.75" x14ac:dyDescent="0.2"/>
  <cols>
    <col min="1" max="1" width="2.28515625" style="3" customWidth="1"/>
    <col min="2" max="2" width="26.42578125" style="3" customWidth="1"/>
    <col min="3" max="3" width="6.85546875" style="3" customWidth="1"/>
    <col min="4" max="4" width="9.42578125" style="3" customWidth="1"/>
    <col min="5" max="5" width="6.42578125" style="3" bestFit="1" customWidth="1"/>
    <col min="6" max="6" width="11.28515625" style="3" customWidth="1"/>
    <col min="7" max="7" width="13.140625" style="3" customWidth="1"/>
    <col min="8" max="8" width="10.28515625" style="3" customWidth="1"/>
    <col min="9" max="9" width="11.28515625" style="3" customWidth="1"/>
    <col min="10" max="10" width="12.140625" style="3" customWidth="1"/>
    <col min="11" max="15" width="8.7109375" style="3" customWidth="1"/>
    <col min="16" max="16384" width="10.85546875" style="3"/>
  </cols>
  <sheetData>
    <row r="1" spans="2:11" s="2" customFormat="1" ht="20.25" x14ac:dyDescent="0.2">
      <c r="B1" s="2" t="str">
        <f ca="1">MID(CELL("Dateiname"), SEARCH("[", CELL("Dateiname"))+1, SEARCH("]", CELL("Dateiname"))- SEARCH("[", CELL("Dateiname")) -1)</f>
        <v>Datafox Zutrittskontrolle - Access Control.xlsx</v>
      </c>
    </row>
    <row r="2" spans="2:11" x14ac:dyDescent="0.2">
      <c r="B2" s="21" t="s">
        <v>41</v>
      </c>
    </row>
    <row r="3" spans="2:11" x14ac:dyDescent="0.2">
      <c r="B3" s="21"/>
    </row>
    <row r="4" spans="2:11" ht="13.5" thickBot="1" x14ac:dyDescent="0.25">
      <c r="B4" s="108" t="s">
        <v>23</v>
      </c>
    </row>
    <row r="5" spans="2:11" ht="13.5" thickBot="1" x14ac:dyDescent="0.25">
      <c r="B5" s="5"/>
      <c r="D5" s="1"/>
      <c r="E5" s="1"/>
      <c r="F5" s="1"/>
      <c r="G5" s="1"/>
      <c r="H5" s="1"/>
      <c r="I5" s="144" t="s">
        <v>7</v>
      </c>
      <c r="J5" s="145"/>
    </row>
    <row r="6" spans="2:11" ht="28.5" customHeight="1" thickBot="1" x14ac:dyDescent="0.25">
      <c r="B6" s="32" t="s">
        <v>0</v>
      </c>
      <c r="C6" s="76" t="s">
        <v>1</v>
      </c>
      <c r="D6" s="77" t="s">
        <v>9</v>
      </c>
      <c r="E6" s="77" t="s">
        <v>13</v>
      </c>
      <c r="F6" s="77" t="s">
        <v>6</v>
      </c>
      <c r="G6" s="77" t="s">
        <v>5</v>
      </c>
      <c r="H6" s="77" t="s">
        <v>4</v>
      </c>
      <c r="I6" s="77" t="s">
        <v>10</v>
      </c>
      <c r="J6" s="78" t="s">
        <v>8</v>
      </c>
    </row>
    <row r="7" spans="2:11" x14ac:dyDescent="0.2">
      <c r="B7" s="67" t="s">
        <v>74</v>
      </c>
      <c r="C7" s="68">
        <v>1</v>
      </c>
      <c r="D7" s="69">
        <f>VLOOKUP(B7,'Technische Daten'!$B$7:$C$14,2,FALSE)</f>
        <v>160</v>
      </c>
      <c r="E7" s="70" t="s">
        <v>14</v>
      </c>
      <c r="F7" s="71"/>
      <c r="G7" s="72"/>
      <c r="H7" s="73">
        <f>IF($E7="Ja",1,F7*G7/(24*60*60))</f>
        <v>1</v>
      </c>
      <c r="I7" s="74">
        <f>C7*D7</f>
        <v>160</v>
      </c>
      <c r="J7" s="75">
        <f>C7*D7*H7</f>
        <v>160</v>
      </c>
      <c r="K7" s="4"/>
    </row>
    <row r="8" spans="2:11" x14ac:dyDescent="0.2">
      <c r="B8" s="51" t="s">
        <v>63</v>
      </c>
      <c r="C8" s="15">
        <v>1</v>
      </c>
      <c r="D8" s="9">
        <f>VLOOKUP(B8,'Technische Daten'!$B$7:$C$14,2,FALSE)</f>
        <v>500</v>
      </c>
      <c r="E8" s="12" t="s">
        <v>15</v>
      </c>
      <c r="F8" s="18">
        <v>3600</v>
      </c>
      <c r="G8" s="19">
        <v>1</v>
      </c>
      <c r="H8" s="8">
        <f t="shared" ref="H8:H12" si="0">IF($E8="Ja",1,F8*G8/(24*60*60))</f>
        <v>4.1666666666666664E-2</v>
      </c>
      <c r="I8" s="20">
        <f>C8*D8</f>
        <v>500</v>
      </c>
      <c r="J8" s="52">
        <f>C8*D8*H8</f>
        <v>20.833333333333332</v>
      </c>
      <c r="K8" s="4"/>
    </row>
    <row r="9" spans="2:11" x14ac:dyDescent="0.2">
      <c r="B9" s="51" t="s">
        <v>2</v>
      </c>
      <c r="C9" s="15">
        <v>6</v>
      </c>
      <c r="D9" s="9">
        <f>VLOOKUP(B9,'Technische Daten'!$B$7:$C$14,2,FALSE)</f>
        <v>130</v>
      </c>
      <c r="E9" s="12" t="s">
        <v>14</v>
      </c>
      <c r="F9" s="10"/>
      <c r="G9" s="11"/>
      <c r="H9" s="8">
        <f t="shared" si="0"/>
        <v>1</v>
      </c>
      <c r="I9" s="20">
        <f>C9*D9</f>
        <v>780</v>
      </c>
      <c r="J9" s="52">
        <f>C9*D9*H9</f>
        <v>780</v>
      </c>
    </row>
    <row r="10" spans="2:11" x14ac:dyDescent="0.2">
      <c r="B10" s="53" t="s">
        <v>3</v>
      </c>
      <c r="C10" s="15">
        <v>2</v>
      </c>
      <c r="D10" s="9">
        <f>VLOOKUP(B10,'Technische Daten'!$B$7:$C$14,2,FALSE)</f>
        <v>260</v>
      </c>
      <c r="E10" s="12" t="s">
        <v>14</v>
      </c>
      <c r="F10" s="10"/>
      <c r="G10" s="11"/>
      <c r="H10" s="8">
        <f t="shared" si="0"/>
        <v>1</v>
      </c>
      <c r="I10" s="20">
        <f>C10*D10</f>
        <v>520</v>
      </c>
      <c r="J10" s="52">
        <f>C10*D10*H10</f>
        <v>520</v>
      </c>
    </row>
    <row r="11" spans="2:11" ht="24" x14ac:dyDescent="0.2">
      <c r="B11" s="36" t="s">
        <v>12</v>
      </c>
      <c r="C11" s="15">
        <v>7</v>
      </c>
      <c r="D11" s="16">
        <v>500</v>
      </c>
      <c r="E11" s="17" t="s">
        <v>15</v>
      </c>
      <c r="F11" s="18">
        <v>5</v>
      </c>
      <c r="G11" s="19">
        <v>1000</v>
      </c>
      <c r="H11" s="8">
        <f t="shared" si="0"/>
        <v>5.7870370370370371E-2</v>
      </c>
      <c r="I11" s="20">
        <f t="shared" ref="I11" si="1">C11*D11</f>
        <v>3500</v>
      </c>
      <c r="J11" s="52">
        <f t="shared" ref="J11" si="2">C11*D11*H11</f>
        <v>202.5462962962963</v>
      </c>
    </row>
    <row r="12" spans="2:11" ht="24.75" thickBot="1" x14ac:dyDescent="0.25">
      <c r="B12" s="37" t="s">
        <v>11</v>
      </c>
      <c r="C12" s="38">
        <v>1</v>
      </c>
      <c r="D12" s="54">
        <v>500</v>
      </c>
      <c r="E12" s="55" t="s">
        <v>15</v>
      </c>
      <c r="F12" s="56">
        <v>3</v>
      </c>
      <c r="G12" s="57">
        <v>2000</v>
      </c>
      <c r="H12" s="58">
        <f t="shared" si="0"/>
        <v>6.9444444444444448E-2</v>
      </c>
      <c r="I12" s="40">
        <f>C12*D12</f>
        <v>500</v>
      </c>
      <c r="J12" s="59">
        <f>C12*D12*H12</f>
        <v>34.722222222222221</v>
      </c>
    </row>
    <row r="13" spans="2:11" ht="13.5" thickBot="1" x14ac:dyDescent="0.25">
      <c r="B13" s="27" t="s">
        <v>60</v>
      </c>
      <c r="H13" s="43" t="s">
        <v>16</v>
      </c>
      <c r="I13" s="44">
        <f>SUM(I7:I12)</f>
        <v>5960</v>
      </c>
      <c r="J13" s="50">
        <f>SUM(J7:J12)</f>
        <v>1718.101851851852</v>
      </c>
    </row>
    <row r="14" spans="2:11" x14ac:dyDescent="0.2">
      <c r="B14" s="28"/>
      <c r="H14" s="1"/>
      <c r="I14" s="26"/>
      <c r="J14" s="26"/>
    </row>
    <row r="15" spans="2:11" x14ac:dyDescent="0.2">
      <c r="B15" s="28"/>
      <c r="H15" s="1"/>
      <c r="I15" s="26"/>
      <c r="J15" s="26"/>
    </row>
    <row r="16" spans="2:11" ht="13.5" thickBot="1" x14ac:dyDescent="0.25">
      <c r="B16" s="108" t="s">
        <v>105</v>
      </c>
    </row>
    <row r="17" spans="2:11" ht="25.5" customHeight="1" thickBot="1" x14ac:dyDescent="0.25">
      <c r="B17" s="32" t="s">
        <v>18</v>
      </c>
      <c r="C17" s="76"/>
      <c r="D17" s="77" t="s">
        <v>19</v>
      </c>
      <c r="E17" s="77"/>
      <c r="F17" s="77" t="s">
        <v>44</v>
      </c>
      <c r="G17" s="77" t="s">
        <v>20</v>
      </c>
      <c r="H17" s="77"/>
      <c r="I17" s="83" t="s">
        <v>21</v>
      </c>
      <c r="J17" s="84" t="s">
        <v>22</v>
      </c>
    </row>
    <row r="18" spans="2:11" x14ac:dyDescent="0.2">
      <c r="B18" s="67" t="s">
        <v>17</v>
      </c>
      <c r="C18" s="79"/>
      <c r="D18" s="80">
        <v>7.2</v>
      </c>
      <c r="E18" s="73"/>
      <c r="F18" s="73">
        <v>0.7</v>
      </c>
      <c r="G18" s="80">
        <f>D18*F18</f>
        <v>5.04</v>
      </c>
      <c r="H18" s="73"/>
      <c r="I18" s="81">
        <f>$G18*1000/I$13/24</f>
        <v>3.5234899328859058E-2</v>
      </c>
      <c r="J18" s="82">
        <f>$G18*1000/J$13/24</f>
        <v>0.12222791086200856</v>
      </c>
    </row>
    <row r="19" spans="2:11" ht="13.5" thickBot="1" x14ac:dyDescent="0.25">
      <c r="B19" s="60" t="s">
        <v>56</v>
      </c>
      <c r="C19" s="61"/>
      <c r="D19" s="62"/>
      <c r="E19" s="58"/>
      <c r="F19" s="63">
        <v>0.7</v>
      </c>
      <c r="G19" s="64">
        <f>D19*F19</f>
        <v>0</v>
      </c>
      <c r="H19" s="58"/>
      <c r="I19" s="65">
        <f>$G19*1000/I$13/24</f>
        <v>0</v>
      </c>
      <c r="J19" s="66">
        <f>$G19*1000/J$13/24</f>
        <v>0</v>
      </c>
    </row>
    <row r="20" spans="2:11" x14ac:dyDescent="0.2">
      <c r="B20" s="27" t="s">
        <v>57</v>
      </c>
    </row>
    <row r="21" spans="2:11" x14ac:dyDescent="0.2">
      <c r="B21" s="27"/>
    </row>
    <row r="22" spans="2:11" x14ac:dyDescent="0.2">
      <c r="B22" s="27"/>
    </row>
    <row r="24" spans="2:11" ht="13.5" thickBot="1" x14ac:dyDescent="0.25">
      <c r="B24" s="108" t="s">
        <v>104</v>
      </c>
      <c r="H24" s="1"/>
      <c r="I24" s="26"/>
      <c r="J24" s="26"/>
    </row>
    <row r="25" spans="2:11" ht="28.5" customHeight="1" thickBot="1" x14ac:dyDescent="0.25">
      <c r="B25" s="32" t="s">
        <v>0</v>
      </c>
      <c r="C25" s="76" t="s">
        <v>1</v>
      </c>
      <c r="D25" s="77" t="s">
        <v>9</v>
      </c>
      <c r="E25" s="77" t="s">
        <v>13</v>
      </c>
      <c r="F25" s="77" t="s">
        <v>6</v>
      </c>
      <c r="G25" s="77" t="s">
        <v>5</v>
      </c>
      <c r="H25" s="77" t="s">
        <v>4</v>
      </c>
      <c r="I25" s="77" t="s">
        <v>10</v>
      </c>
      <c r="J25" s="78" t="s">
        <v>8</v>
      </c>
    </row>
    <row r="26" spans="2:11" ht="13.5" thickBot="1" x14ac:dyDescent="0.25">
      <c r="B26" s="37" t="s">
        <v>103</v>
      </c>
      <c r="C26" s="38">
        <v>1</v>
      </c>
      <c r="D26" s="54">
        <v>500</v>
      </c>
      <c r="E26" s="107" t="s">
        <v>15</v>
      </c>
      <c r="F26" s="56">
        <v>10</v>
      </c>
      <c r="G26" s="57">
        <v>250</v>
      </c>
      <c r="H26" s="58">
        <f t="shared" ref="H26" si="3">IF($E26="Ja",1,F26*G26/(24*60*60))</f>
        <v>2.8935185185185185E-2</v>
      </c>
      <c r="I26" s="40">
        <f>C26*D26</f>
        <v>500</v>
      </c>
      <c r="J26" s="59">
        <f>C26*D26*H26</f>
        <v>14.467592592592593</v>
      </c>
      <c r="K26" s="4"/>
    </row>
    <row r="27" spans="2:11" x14ac:dyDescent="0.2">
      <c r="B27" s="104"/>
      <c r="C27" s="34"/>
      <c r="D27" s="45"/>
      <c r="E27" s="105"/>
      <c r="F27" s="102"/>
      <c r="G27" s="103"/>
      <c r="H27" s="106"/>
      <c r="I27" s="26"/>
      <c r="J27" s="26"/>
      <c r="K27" s="4"/>
    </row>
    <row r="28" spans="2:11" x14ac:dyDescent="0.2">
      <c r="B28" s="104"/>
      <c r="C28" s="34"/>
      <c r="D28" s="45"/>
      <c r="E28" s="105"/>
      <c r="F28" s="102"/>
      <c r="G28" s="103"/>
      <c r="H28" s="106"/>
      <c r="I28" s="26"/>
      <c r="J28" s="26"/>
      <c r="K28" s="4"/>
    </row>
    <row r="29" spans="2:11" x14ac:dyDescent="0.2">
      <c r="B29" s="104"/>
      <c r="C29" s="34"/>
      <c r="D29" s="45"/>
      <c r="E29" s="105"/>
      <c r="F29" s="102"/>
      <c r="G29" s="103"/>
      <c r="H29" s="106"/>
      <c r="I29" s="26"/>
      <c r="J29" s="26"/>
      <c r="K29" s="4"/>
    </row>
    <row r="30" spans="2:11" x14ac:dyDescent="0.2">
      <c r="B30" s="25"/>
    </row>
    <row r="31" spans="2:11" x14ac:dyDescent="0.2">
      <c r="B31" s="25"/>
    </row>
    <row r="33" spans="2:10" x14ac:dyDescent="0.2">
      <c r="B33" s="23" t="s">
        <v>24</v>
      </c>
      <c r="C33" s="146" t="s">
        <v>29</v>
      </c>
      <c r="D33" s="146"/>
      <c r="E33" s="146"/>
      <c r="F33" s="146"/>
      <c r="G33" s="146"/>
      <c r="H33" s="146"/>
      <c r="I33" s="146"/>
      <c r="J33" s="146"/>
    </row>
    <row r="34" spans="2:10" x14ac:dyDescent="0.2">
      <c r="B34" s="99" t="s">
        <v>25</v>
      </c>
      <c r="C34" s="142" t="s">
        <v>26</v>
      </c>
      <c r="D34" s="142"/>
      <c r="E34" s="142"/>
      <c r="F34" s="142"/>
      <c r="G34" s="142"/>
      <c r="H34" s="142"/>
      <c r="I34" s="142"/>
      <c r="J34" s="142"/>
    </row>
    <row r="35" spans="2:10" x14ac:dyDescent="0.2">
      <c r="B35" s="24" t="s">
        <v>27</v>
      </c>
      <c r="C35" s="143" t="s">
        <v>28</v>
      </c>
      <c r="D35" s="143"/>
      <c r="E35" s="143"/>
      <c r="F35" s="143"/>
      <c r="G35" s="143"/>
      <c r="H35" s="143"/>
      <c r="I35" s="143"/>
      <c r="J35" s="143"/>
    </row>
    <row r="36" spans="2:10" x14ac:dyDescent="0.2">
      <c r="B36" s="99" t="s">
        <v>30</v>
      </c>
      <c r="C36" s="142" t="s">
        <v>31</v>
      </c>
      <c r="D36" s="142"/>
      <c r="E36" s="142"/>
      <c r="F36" s="142"/>
      <c r="G36" s="142"/>
      <c r="H36" s="142"/>
      <c r="I36" s="142"/>
      <c r="J36" s="142"/>
    </row>
    <row r="37" spans="2:10" x14ac:dyDescent="0.2">
      <c r="B37" s="24" t="s">
        <v>32</v>
      </c>
      <c r="C37" s="143" t="s">
        <v>33</v>
      </c>
      <c r="D37" s="143"/>
      <c r="E37" s="143"/>
      <c r="F37" s="143"/>
      <c r="G37" s="143"/>
      <c r="H37" s="143"/>
      <c r="I37" s="143"/>
      <c r="J37" s="143"/>
    </row>
    <row r="38" spans="2:10" x14ac:dyDescent="0.2">
      <c r="B38" s="99" t="s">
        <v>34</v>
      </c>
      <c r="C38" s="142" t="s">
        <v>35</v>
      </c>
      <c r="D38" s="142"/>
      <c r="E38" s="142"/>
      <c r="F38" s="142"/>
      <c r="G38" s="142"/>
      <c r="H38" s="142"/>
      <c r="I38" s="142"/>
      <c r="J38" s="142"/>
    </row>
    <row r="39" spans="2:10" x14ac:dyDescent="0.2">
      <c r="B39" s="24" t="s">
        <v>36</v>
      </c>
      <c r="C39" s="143" t="s">
        <v>37</v>
      </c>
      <c r="D39" s="143"/>
      <c r="E39" s="143"/>
      <c r="F39" s="143"/>
      <c r="G39" s="143"/>
      <c r="H39" s="143"/>
      <c r="I39" s="143"/>
      <c r="J39" s="143"/>
    </row>
    <row r="40" spans="2:10" x14ac:dyDescent="0.2">
      <c r="B40" s="99" t="s">
        <v>38</v>
      </c>
      <c r="C40" s="142" t="s">
        <v>39</v>
      </c>
      <c r="D40" s="142"/>
      <c r="E40" s="142"/>
      <c r="F40" s="142"/>
      <c r="G40" s="142"/>
      <c r="H40" s="142"/>
      <c r="I40" s="142"/>
      <c r="J40" s="142"/>
    </row>
    <row r="41" spans="2:10" x14ac:dyDescent="0.2">
      <c r="B41" s="24" t="s">
        <v>49</v>
      </c>
      <c r="C41" s="143" t="s">
        <v>40</v>
      </c>
      <c r="D41" s="143"/>
      <c r="E41" s="143"/>
      <c r="F41" s="143"/>
      <c r="G41" s="143"/>
      <c r="H41" s="143"/>
      <c r="I41" s="143"/>
      <c r="J41" s="143"/>
    </row>
    <row r="42" spans="2:10" x14ac:dyDescent="0.2">
      <c r="B42" s="99" t="s">
        <v>58</v>
      </c>
      <c r="C42" s="142" t="s">
        <v>59</v>
      </c>
      <c r="D42" s="142"/>
      <c r="E42" s="142"/>
      <c r="F42" s="142"/>
      <c r="G42" s="142"/>
      <c r="H42" s="142"/>
      <c r="I42" s="142"/>
      <c r="J42" s="142"/>
    </row>
    <row r="43" spans="2:10" x14ac:dyDescent="0.2">
      <c r="B43" s="21"/>
    </row>
    <row r="44" spans="2:10" s="22" customFormat="1" x14ac:dyDescent="0.2">
      <c r="B44" s="1"/>
    </row>
    <row r="45" spans="2:10" x14ac:dyDescent="0.2">
      <c r="B45" s="23" t="s">
        <v>54</v>
      </c>
      <c r="C45" s="146" t="s">
        <v>55</v>
      </c>
      <c r="D45" s="146"/>
      <c r="E45" s="146"/>
      <c r="F45" s="146"/>
      <c r="G45" s="146"/>
      <c r="H45" s="146"/>
      <c r="I45" s="146"/>
      <c r="J45" s="146"/>
    </row>
    <row r="46" spans="2:10" x14ac:dyDescent="0.2">
      <c r="B46" s="98" t="s">
        <v>42</v>
      </c>
      <c r="C46" s="147" t="s">
        <v>43</v>
      </c>
      <c r="D46" s="147"/>
      <c r="E46" s="147"/>
      <c r="F46" s="147"/>
      <c r="G46" s="147"/>
      <c r="H46" s="147"/>
      <c r="I46" s="147"/>
      <c r="J46" s="147"/>
    </row>
    <row r="47" spans="2:10" x14ac:dyDescent="0.2">
      <c r="B47" s="24" t="s">
        <v>50</v>
      </c>
      <c r="C47" s="143" t="s">
        <v>45</v>
      </c>
      <c r="D47" s="143"/>
      <c r="E47" s="143"/>
      <c r="F47" s="143"/>
      <c r="G47" s="143"/>
      <c r="H47" s="143"/>
      <c r="I47" s="143"/>
      <c r="J47" s="143"/>
    </row>
    <row r="48" spans="2:10" x14ac:dyDescent="0.2">
      <c r="B48" s="99" t="s">
        <v>51</v>
      </c>
      <c r="C48" s="142" t="s">
        <v>46</v>
      </c>
      <c r="D48" s="142"/>
      <c r="E48" s="142"/>
      <c r="F48" s="142"/>
      <c r="G48" s="142"/>
      <c r="H48" s="142"/>
      <c r="I48" s="142"/>
      <c r="J48" s="142"/>
    </row>
    <row r="49" spans="2:10" x14ac:dyDescent="0.2">
      <c r="B49" s="24" t="s">
        <v>52</v>
      </c>
      <c r="C49" s="143" t="s">
        <v>47</v>
      </c>
      <c r="D49" s="143"/>
      <c r="E49" s="143"/>
      <c r="F49" s="143"/>
      <c r="G49" s="143"/>
      <c r="H49" s="143"/>
      <c r="I49" s="143"/>
      <c r="J49" s="143"/>
    </row>
    <row r="50" spans="2:10" x14ac:dyDescent="0.2">
      <c r="B50" s="99" t="s">
        <v>53</v>
      </c>
      <c r="C50" s="142" t="s">
        <v>48</v>
      </c>
      <c r="D50" s="142"/>
      <c r="E50" s="142"/>
      <c r="F50" s="142"/>
      <c r="G50" s="142"/>
      <c r="H50" s="142"/>
      <c r="I50" s="142"/>
      <c r="J50" s="142"/>
    </row>
  </sheetData>
  <sheetProtection algorithmName="SHA-512" hashValue="8Qy7vbp/XtjvZI2sd1YEcR2FoS0XT08hcsc6nEAo3T3XXpQBWVfwUXWjIh8VC4Qwu5gvZ/1E8TlzNsRbGk46yA==" saltValue="YiZQbzujgBMxkwfPhOCKUw==" spinCount="100000" sheet="1" objects="1" scenarios="1"/>
  <mergeCells count="17">
    <mergeCell ref="C50:J50"/>
    <mergeCell ref="C45:J45"/>
    <mergeCell ref="C46:J46"/>
    <mergeCell ref="C47:J47"/>
    <mergeCell ref="C48:J48"/>
    <mergeCell ref="C49:J49"/>
    <mergeCell ref="C34:J34"/>
    <mergeCell ref="C35:J35"/>
    <mergeCell ref="C41:J41"/>
    <mergeCell ref="I5:J5"/>
    <mergeCell ref="C42:J42"/>
    <mergeCell ref="C36:J36"/>
    <mergeCell ref="C37:J37"/>
    <mergeCell ref="C38:J38"/>
    <mergeCell ref="C39:J39"/>
    <mergeCell ref="C40:J40"/>
    <mergeCell ref="C33:J33"/>
  </mergeCells>
  <phoneticPr fontId="4" type="noConversion"/>
  <conditionalFormatting sqref="F7:G7">
    <cfRule type="expression" dxfId="21" priority="8">
      <formula>$E7="Ja"</formula>
    </cfRule>
  </conditionalFormatting>
  <conditionalFormatting sqref="F8:G12">
    <cfRule type="expression" dxfId="20" priority="7">
      <formula>$E8="Ja"</formula>
    </cfRule>
  </conditionalFormatting>
  <conditionalFormatting sqref="F27:G29">
    <cfRule type="expression" dxfId="19" priority="4">
      <formula>$E27="Ja"</formula>
    </cfRule>
  </conditionalFormatting>
  <conditionalFormatting sqref="F26:G26">
    <cfRule type="expression" dxfId="18" priority="3">
      <formula>$E26="Ja"</formula>
    </cfRule>
  </conditionalFormatting>
  <conditionalFormatting sqref="G18">
    <cfRule type="expression" dxfId="17" priority="2">
      <formula>$E18="Ja"</formula>
    </cfRule>
  </conditionalFormatting>
  <conditionalFormatting sqref="G19">
    <cfRule type="expression" dxfId="16" priority="1">
      <formula>$E19="Ja"</formula>
    </cfRule>
  </conditionalFormatting>
  <pageMargins left="0.59055118110236227" right="0.59055118110236227" top="0.59055118110236227" bottom="0.59055118110236227" header="0.51181102362204722" footer="0.51181102362204722"/>
  <pageSetup paperSize="9" scale="77" fitToHeight="0" orientation="portrait" r:id="rId1"/>
  <headerFooter alignWithMargins="0">
    <oddFooter>&amp;LDatafox GmbH&amp;R&amp;F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'Technische Daten'!$B$7:$B$14</xm:f>
          </x14:formula1>
          <xm:sqref>B7:B10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6"/>
  <sheetViews>
    <sheetView zoomScale="145" zoomScaleNormal="145" workbookViewId="0">
      <selection activeCell="C8" sqref="C8"/>
    </sheetView>
  </sheetViews>
  <sheetFormatPr baseColWidth="10" defaultColWidth="10.85546875" defaultRowHeight="12.75" x14ac:dyDescent="0.2"/>
  <cols>
    <col min="1" max="1" width="2.28515625" style="3" customWidth="1"/>
    <col min="2" max="2" width="26.42578125" style="3" customWidth="1"/>
    <col min="3" max="4" width="12.5703125" style="3" customWidth="1"/>
    <col min="5" max="5" width="6.5703125" style="3" customWidth="1"/>
    <col min="6" max="6" width="11.28515625" style="3" customWidth="1"/>
    <col min="7" max="7" width="13.140625" style="3" customWidth="1"/>
    <col min="8" max="8" width="10.28515625" style="3" customWidth="1"/>
    <col min="9" max="9" width="11.28515625" style="3" customWidth="1"/>
    <col min="10" max="10" width="12.140625" style="3" customWidth="1"/>
    <col min="11" max="15" width="8.7109375" style="3" customWidth="1"/>
    <col min="16" max="16384" width="10.85546875" style="3"/>
  </cols>
  <sheetData>
    <row r="1" spans="2:5" s="2" customFormat="1" ht="20.25" x14ac:dyDescent="0.2">
      <c r="B1" s="2" t="str">
        <f ca="1">MID(CELL("Dateiname"), SEARCH("[", CELL("Dateiname"))+1, SEARCH("]", CELL("Dateiname"))- SEARCH("[", CELL("Dateiname")) -1)</f>
        <v>Datafox Zutrittskontrolle - Access Control.xlsx</v>
      </c>
    </row>
    <row r="2" spans="2:5" x14ac:dyDescent="0.2">
      <c r="B2" s="21" t="s">
        <v>62</v>
      </c>
    </row>
    <row r="3" spans="2:5" x14ac:dyDescent="0.2">
      <c r="B3" s="21"/>
    </row>
    <row r="4" spans="2:5" x14ac:dyDescent="0.2">
      <c r="B4" s="28"/>
    </row>
    <row r="5" spans="2:5" x14ac:dyDescent="0.2">
      <c r="B5" s="5"/>
      <c r="C5" s="1"/>
    </row>
    <row r="6" spans="2:5" ht="28.5" customHeight="1" x14ac:dyDescent="0.2">
      <c r="B6" s="6" t="s">
        <v>0</v>
      </c>
      <c r="C6" s="7" t="s">
        <v>69</v>
      </c>
      <c r="D6" s="7" t="s">
        <v>68</v>
      </c>
      <c r="E6" s="7" t="s">
        <v>72</v>
      </c>
    </row>
    <row r="7" spans="2:5" x14ac:dyDescent="0.2">
      <c r="B7" s="13" t="s">
        <v>71</v>
      </c>
      <c r="C7" s="9">
        <v>120</v>
      </c>
      <c r="D7" s="9">
        <v>200</v>
      </c>
      <c r="E7" s="30">
        <v>9</v>
      </c>
    </row>
    <row r="8" spans="2:5" x14ac:dyDescent="0.2">
      <c r="B8" s="13" t="s">
        <v>73</v>
      </c>
      <c r="C8" s="9">
        <v>120</v>
      </c>
      <c r="D8" s="9">
        <v>200</v>
      </c>
      <c r="E8" s="30">
        <v>12</v>
      </c>
    </row>
    <row r="9" spans="2:5" x14ac:dyDescent="0.2">
      <c r="B9" s="13" t="s">
        <v>74</v>
      </c>
      <c r="C9" s="9">
        <v>160</v>
      </c>
      <c r="D9" s="9">
        <v>250</v>
      </c>
      <c r="E9" s="30">
        <v>15</v>
      </c>
    </row>
    <row r="10" spans="2:5" x14ac:dyDescent="0.2">
      <c r="B10" s="13" t="s">
        <v>2</v>
      </c>
      <c r="C10" s="9">
        <v>130</v>
      </c>
      <c r="D10" s="9">
        <v>200</v>
      </c>
      <c r="E10" s="30">
        <v>9</v>
      </c>
    </row>
    <row r="11" spans="2:5" x14ac:dyDescent="0.2">
      <c r="B11" s="14" t="s">
        <v>3</v>
      </c>
      <c r="C11" s="9">
        <v>260</v>
      </c>
      <c r="D11" s="9">
        <v>400</v>
      </c>
      <c r="E11" s="30">
        <v>9</v>
      </c>
    </row>
    <row r="12" spans="2:5" x14ac:dyDescent="0.2">
      <c r="B12" s="13" t="s">
        <v>63</v>
      </c>
      <c r="C12" s="9">
        <v>500</v>
      </c>
      <c r="D12" s="9">
        <v>1000</v>
      </c>
      <c r="E12" s="30">
        <v>14.5</v>
      </c>
    </row>
    <row r="13" spans="2:5" x14ac:dyDescent="0.2">
      <c r="B13" s="13" t="s">
        <v>64</v>
      </c>
      <c r="C13" s="9">
        <v>500</v>
      </c>
      <c r="D13" s="9">
        <v>1000</v>
      </c>
      <c r="E13" s="30">
        <v>9</v>
      </c>
    </row>
    <row r="14" spans="2:5" x14ac:dyDescent="0.2">
      <c r="B14" s="13"/>
      <c r="C14" s="9"/>
      <c r="D14" s="9"/>
      <c r="E14" s="30"/>
    </row>
    <row r="15" spans="2:5" x14ac:dyDescent="0.2">
      <c r="B15" s="27" t="s">
        <v>60</v>
      </c>
    </row>
    <row r="16" spans="2:5" x14ac:dyDescent="0.2">
      <c r="B16" s="28"/>
    </row>
  </sheetData>
  <sheetProtection algorithmName="SHA-512" hashValue="21DoHGrkvI4WmUa7/x1gmh4upFACVnMVnrmM7CMMDS+tbPHP4fMh9OcVo0927H1p7xtk1tfZ5kRfDqQlnlqUjw==" saltValue="Q6jeHRhIKR+VJNRwtF2QUg==" spinCount="100000" sheet="1" objects="1" scenarios="1"/>
  <pageMargins left="0.59055118110236227" right="0.59055118110236227" top="0.59055118110236227" bottom="0.59055118110236227" header="0.51181102362204722" footer="0.51181102362204722"/>
  <pageSetup paperSize="9" scale="77" fitToHeight="0" orientation="portrait" r:id="rId1"/>
  <headerFooter alignWithMargins="0">
    <oddFooter>&amp;LDatafox GmbH&amp;R&amp;F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Leitungs-Berechnung</vt:lpstr>
      <vt:lpstr>KYO_Cenloc Strom</vt:lpstr>
      <vt:lpstr>Technische Daten</vt:lpstr>
    </vt:vector>
  </TitlesOfParts>
  <Company>Datafox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mheil</dc:creator>
  <cp:lastModifiedBy>Markus Heil</cp:lastModifiedBy>
  <cp:lastPrinted>2019-03-26T05:50:42Z</cp:lastPrinted>
  <dcterms:created xsi:type="dcterms:W3CDTF">2009-12-14T07:12:17Z</dcterms:created>
  <dcterms:modified xsi:type="dcterms:W3CDTF">2019-04-08T13:29:16Z</dcterms:modified>
</cp:coreProperties>
</file>